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showInkAnnotation="0" autoCompressPictures="0"/>
  <bookViews>
    <workbookView xWindow="0" yWindow="0" windowWidth="25605" windowHeight="15600" tabRatio="500"/>
  </bookViews>
  <sheets>
    <sheet name="Read Me" sheetId="4" r:id="rId1"/>
    <sheet name="1-Calculate Reference Gas" sheetId="2" r:id="rId2"/>
    <sheet name="2-Calculate Analytical Uncert" sheetId="5" r:id="rId3"/>
    <sheet name="3-Calculate Sample dD &amp; Uncert" sheetId="1" r:id="rId4"/>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I59" i="1"/>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AC10"/>
  <c r="AF10"/>
  <c r="AH10"/>
  <c r="AJ10"/>
  <c r="AU10"/>
  <c r="AL10"/>
  <c r="AW10"/>
  <c r="Z10"/>
  <c r="AC11"/>
  <c r="AF11"/>
  <c r="AH11"/>
  <c r="AJ11"/>
  <c r="AU11"/>
  <c r="AL11"/>
  <c r="AW11"/>
  <c r="Z11"/>
  <c r="AC12"/>
  <c r="AF12"/>
  <c r="AH12"/>
  <c r="AJ12"/>
  <c r="AU12"/>
  <c r="AL12"/>
  <c r="AW12"/>
  <c r="Z12"/>
  <c r="AC13"/>
  <c r="AF13"/>
  <c r="AH13"/>
  <c r="AJ13"/>
  <c r="AU13"/>
  <c r="AL13"/>
  <c r="AW13"/>
  <c r="Z13"/>
  <c r="AC14"/>
  <c r="AF14"/>
  <c r="AH14"/>
  <c r="AJ14"/>
  <c r="AU14"/>
  <c r="AL14"/>
  <c r="AW14"/>
  <c r="Z14"/>
  <c r="AC15"/>
  <c r="AF15"/>
  <c r="AH15"/>
  <c r="AJ15"/>
  <c r="AU15"/>
  <c r="AL15"/>
  <c r="AW15"/>
  <c r="Z15"/>
  <c r="AC16"/>
  <c r="AF16"/>
  <c r="AH16"/>
  <c r="AJ16"/>
  <c r="AU16"/>
  <c r="AL16"/>
  <c r="AW16"/>
  <c r="Z16"/>
  <c r="AC17"/>
  <c r="AF17"/>
  <c r="AH17"/>
  <c r="AJ17"/>
  <c r="AU17"/>
  <c r="AL17"/>
  <c r="AW17"/>
  <c r="Z17"/>
  <c r="AC18"/>
  <c r="AF18"/>
  <c r="AH18"/>
  <c r="AJ18"/>
  <c r="AU18"/>
  <c r="AL18"/>
  <c r="AW18"/>
  <c r="Z18"/>
  <c r="AC19"/>
  <c r="AF19"/>
  <c r="AH19"/>
  <c r="AJ19"/>
  <c r="AU19"/>
  <c r="AL19"/>
  <c r="AW19"/>
  <c r="Z19"/>
  <c r="AC20"/>
  <c r="AF20"/>
  <c r="AH20"/>
  <c r="AJ20"/>
  <c r="AU20"/>
  <c r="AL20"/>
  <c r="AW20"/>
  <c r="Z20"/>
  <c r="AC21"/>
  <c r="AF21"/>
  <c r="AH21"/>
  <c r="AJ21"/>
  <c r="AU21"/>
  <c r="AL21"/>
  <c r="AW21"/>
  <c r="Z21"/>
  <c r="AC22"/>
  <c r="AF22"/>
  <c r="AH22"/>
  <c r="AJ22"/>
  <c r="AU22"/>
  <c r="AL22"/>
  <c r="AW22"/>
  <c r="Z22"/>
  <c r="AC23"/>
  <c r="AF23"/>
  <c r="AH23"/>
  <c r="AJ23"/>
  <c r="AU23"/>
  <c r="AL23"/>
  <c r="AW23"/>
  <c r="Z23"/>
  <c r="AC24"/>
  <c r="AF24"/>
  <c r="AH24"/>
  <c r="AJ24"/>
  <c r="AU24"/>
  <c r="AL24"/>
  <c r="AW24"/>
  <c r="Z24"/>
  <c r="AC25"/>
  <c r="AF25"/>
  <c r="AH25"/>
  <c r="AJ25"/>
  <c r="AU25"/>
  <c r="AL25"/>
  <c r="AW25"/>
  <c r="Z25"/>
  <c r="AC26"/>
  <c r="AF26"/>
  <c r="AH26"/>
  <c r="AJ26"/>
  <c r="AU26"/>
  <c r="AL26"/>
  <c r="AW26"/>
  <c r="Z26"/>
  <c r="AC27"/>
  <c r="AF27"/>
  <c r="AH27"/>
  <c r="AJ27"/>
  <c r="AU27"/>
  <c r="AL27"/>
  <c r="AW27"/>
  <c r="Z27"/>
  <c r="AC28"/>
  <c r="AF28"/>
  <c r="AH28"/>
  <c r="AJ28"/>
  <c r="AU28"/>
  <c r="AL28"/>
  <c r="AW28"/>
  <c r="Z28"/>
  <c r="AC29"/>
  <c r="AF29"/>
  <c r="AH29"/>
  <c r="AJ29"/>
  <c r="AU29"/>
  <c r="AL29"/>
  <c r="AW29"/>
  <c r="Z29"/>
  <c r="AC30"/>
  <c r="AF30"/>
  <c r="AH30"/>
  <c r="AJ30"/>
  <c r="AU30"/>
  <c r="AL30"/>
  <c r="AW30"/>
  <c r="Z30"/>
  <c r="AC31"/>
  <c r="AF31"/>
  <c r="AH31"/>
  <c r="AJ31"/>
  <c r="AU31"/>
  <c r="AL31"/>
  <c r="AW31"/>
  <c r="Z31"/>
  <c r="AC32"/>
  <c r="AF32"/>
  <c r="AH32"/>
  <c r="AJ32"/>
  <c r="AU32"/>
  <c r="AL32"/>
  <c r="AW32"/>
  <c r="Z32"/>
  <c r="AC33"/>
  <c r="AF33"/>
  <c r="AH33"/>
  <c r="AJ33"/>
  <c r="AU33"/>
  <c r="AL33"/>
  <c r="AW33"/>
  <c r="Z33"/>
  <c r="AC34"/>
  <c r="AF34"/>
  <c r="AH34"/>
  <c r="AJ34"/>
  <c r="AU34"/>
  <c r="AL34"/>
  <c r="AW34"/>
  <c r="Z34"/>
  <c r="AC35"/>
  <c r="AF35"/>
  <c r="AH35"/>
  <c r="AJ35"/>
  <c r="AU35"/>
  <c r="AL35"/>
  <c r="AW35"/>
  <c r="Z35"/>
  <c r="AC36"/>
  <c r="AF36"/>
  <c r="AH36"/>
  <c r="AJ36"/>
  <c r="AU36"/>
  <c r="AL36"/>
  <c r="AW36"/>
  <c r="Z36"/>
  <c r="AC37"/>
  <c r="AF37"/>
  <c r="AH37"/>
  <c r="AJ37"/>
  <c r="AU37"/>
  <c r="AL37"/>
  <c r="AW37"/>
  <c r="Z37"/>
  <c r="AC38"/>
  <c r="AF38"/>
  <c r="AH38"/>
  <c r="AJ38"/>
  <c r="AU38"/>
  <c r="AL38"/>
  <c r="AW38"/>
  <c r="Z38"/>
  <c r="AC39"/>
  <c r="AF39"/>
  <c r="AH39"/>
  <c r="AJ39"/>
  <c r="AU39"/>
  <c r="AL39"/>
  <c r="AW39"/>
  <c r="Z39"/>
  <c r="AC40"/>
  <c r="AF40"/>
  <c r="AH40"/>
  <c r="AJ40"/>
  <c r="AU40"/>
  <c r="AL40"/>
  <c r="AW40"/>
  <c r="Z40"/>
  <c r="AC41"/>
  <c r="AF41"/>
  <c r="AH41"/>
  <c r="AJ41"/>
  <c r="AU41"/>
  <c r="AL41"/>
  <c r="AW41"/>
  <c r="Z41"/>
  <c r="AC42"/>
  <c r="AF42"/>
  <c r="AH42"/>
  <c r="AJ42"/>
  <c r="AU42"/>
  <c r="AL42"/>
  <c r="AW42"/>
  <c r="Z42"/>
  <c r="AC43"/>
  <c r="AF43"/>
  <c r="AH43"/>
  <c r="AJ43"/>
  <c r="AU43"/>
  <c r="AL43"/>
  <c r="AW43"/>
  <c r="Z43"/>
  <c r="AC44"/>
  <c r="AF44"/>
  <c r="AH44"/>
  <c r="AJ44"/>
  <c r="AU44"/>
  <c r="AL44"/>
  <c r="AW44"/>
  <c r="Z44"/>
  <c r="AC45"/>
  <c r="AF45"/>
  <c r="AH45"/>
  <c r="AJ45"/>
  <c r="AU45"/>
  <c r="AL45"/>
  <c r="AW45"/>
  <c r="Z45"/>
  <c r="AC46"/>
  <c r="AF46"/>
  <c r="AH46"/>
  <c r="AJ46"/>
  <c r="AU46"/>
  <c r="AL46"/>
  <c r="AW46"/>
  <c r="Z46"/>
  <c r="AC47"/>
  <c r="AF47"/>
  <c r="AH47"/>
  <c r="AJ47"/>
  <c r="AU47"/>
  <c r="AL47"/>
  <c r="AW47"/>
  <c r="Z47"/>
  <c r="AC48"/>
  <c r="AF48"/>
  <c r="AH48"/>
  <c r="AJ48"/>
  <c r="AU48"/>
  <c r="AL48"/>
  <c r="AW48"/>
  <c r="Z48"/>
  <c r="AC49"/>
  <c r="AF49"/>
  <c r="AH49"/>
  <c r="AJ49"/>
  <c r="AU49"/>
  <c r="AL49"/>
  <c r="AW49"/>
  <c r="Z49"/>
  <c r="AC50"/>
  <c r="AF50"/>
  <c r="AH50"/>
  <c r="AJ50"/>
  <c r="AU50"/>
  <c r="AL50"/>
  <c r="AW50"/>
  <c r="Z50"/>
  <c r="AC51"/>
  <c r="AF51"/>
  <c r="AH51"/>
  <c r="AJ51"/>
  <c r="AU51"/>
  <c r="AL51"/>
  <c r="AW51"/>
  <c r="Z51"/>
  <c r="AC52"/>
  <c r="AF52"/>
  <c r="AH52"/>
  <c r="AJ52"/>
  <c r="AU52"/>
  <c r="AL52"/>
  <c r="AW52"/>
  <c r="Z52"/>
  <c r="AC53"/>
  <c r="AF53"/>
  <c r="AH53"/>
  <c r="AJ53"/>
  <c r="AU53"/>
  <c r="AL53"/>
  <c r="AW53"/>
  <c r="Z53"/>
  <c r="AC54"/>
  <c r="AF54"/>
  <c r="AH54"/>
  <c r="AJ54"/>
  <c r="AU54"/>
  <c r="AL54"/>
  <c r="AW54"/>
  <c r="Z54"/>
  <c r="AC55"/>
  <c r="AF55"/>
  <c r="AH55"/>
  <c r="AJ55"/>
  <c r="AU55"/>
  <c r="AL55"/>
  <c r="AW55"/>
  <c r="Z55"/>
  <c r="AC56"/>
  <c r="AF56"/>
  <c r="AH56"/>
  <c r="AJ56"/>
  <c r="AU56"/>
  <c r="AL56"/>
  <c r="AW56"/>
  <c r="Z56"/>
  <c r="AC57"/>
  <c r="AF57"/>
  <c r="AH57"/>
  <c r="AJ57"/>
  <c r="AU57"/>
  <c r="AL57"/>
  <c r="AW57"/>
  <c r="Z57"/>
  <c r="AC58"/>
  <c r="AF58"/>
  <c r="AH58"/>
  <c r="AJ58"/>
  <c r="AU58"/>
  <c r="AL58"/>
  <c r="AW58"/>
  <c r="Z58"/>
  <c r="AC59"/>
  <c r="AF59"/>
  <c r="AH59"/>
  <c r="AJ59"/>
  <c r="AU59"/>
  <c r="AL59"/>
  <c r="AW59"/>
  <c r="Z59"/>
  <c r="X10"/>
  <c r="X11"/>
  <c r="X12"/>
  <c r="X13"/>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X54"/>
  <c r="X55"/>
  <c r="X56"/>
  <c r="X57"/>
  <c r="X58"/>
  <c r="X59"/>
  <c r="AQ10"/>
  <c r="AS10"/>
  <c r="V10"/>
  <c r="AQ11"/>
  <c r="AS11"/>
  <c r="V11"/>
  <c r="AQ12"/>
  <c r="AS12"/>
  <c r="V12"/>
  <c r="AQ13"/>
  <c r="AS13"/>
  <c r="V13"/>
  <c r="AQ14"/>
  <c r="AS14"/>
  <c r="V14"/>
  <c r="AQ15"/>
  <c r="AS15"/>
  <c r="V15"/>
  <c r="AQ16"/>
  <c r="AS16"/>
  <c r="V16"/>
  <c r="AQ17"/>
  <c r="AS17"/>
  <c r="V17"/>
  <c r="AQ18"/>
  <c r="AS18"/>
  <c r="V18"/>
  <c r="AQ19"/>
  <c r="AS19"/>
  <c r="V19"/>
  <c r="AQ20"/>
  <c r="AS20"/>
  <c r="V20"/>
  <c r="AQ21"/>
  <c r="AS21"/>
  <c r="V21"/>
  <c r="AQ22"/>
  <c r="AS22"/>
  <c r="V22"/>
  <c r="AQ23"/>
  <c r="AS23"/>
  <c r="V23"/>
  <c r="AQ24"/>
  <c r="AS24"/>
  <c r="V24"/>
  <c r="AQ25"/>
  <c r="AS25"/>
  <c r="V25"/>
  <c r="AQ26"/>
  <c r="AS26"/>
  <c r="V26"/>
  <c r="AQ27"/>
  <c r="AS27"/>
  <c r="V27"/>
  <c r="AQ28"/>
  <c r="AS28"/>
  <c r="V28"/>
  <c r="AQ29"/>
  <c r="AS29"/>
  <c r="V29"/>
  <c r="AQ30"/>
  <c r="AS30"/>
  <c r="V30"/>
  <c r="AQ31"/>
  <c r="AS31"/>
  <c r="V31"/>
  <c r="AQ32"/>
  <c r="AS32"/>
  <c r="V32"/>
  <c r="AQ33"/>
  <c r="AS33"/>
  <c r="V33"/>
  <c r="AQ34"/>
  <c r="AS34"/>
  <c r="V34"/>
  <c r="AQ35"/>
  <c r="AS35"/>
  <c r="V35"/>
  <c r="AQ36"/>
  <c r="AS36"/>
  <c r="V36"/>
  <c r="AQ37"/>
  <c r="AS37"/>
  <c r="V37"/>
  <c r="AQ38"/>
  <c r="AS38"/>
  <c r="V38"/>
  <c r="AQ39"/>
  <c r="AS39"/>
  <c r="V39"/>
  <c r="AQ40"/>
  <c r="AS40"/>
  <c r="V40"/>
  <c r="AQ41"/>
  <c r="AS41"/>
  <c r="V41"/>
  <c r="AQ42"/>
  <c r="AS42"/>
  <c r="V42"/>
  <c r="AQ43"/>
  <c r="AS43"/>
  <c r="V43"/>
  <c r="AQ44"/>
  <c r="AS44"/>
  <c r="V44"/>
  <c r="AQ45"/>
  <c r="AS45"/>
  <c r="V45"/>
  <c r="AQ46"/>
  <c r="AS46"/>
  <c r="V46"/>
  <c r="AQ47"/>
  <c r="AS47"/>
  <c r="V47"/>
  <c r="AQ48"/>
  <c r="AS48"/>
  <c r="V48"/>
  <c r="AQ49"/>
  <c r="AS49"/>
  <c r="V49"/>
  <c r="AQ50"/>
  <c r="AS50"/>
  <c r="V50"/>
  <c r="AQ51"/>
  <c r="AS51"/>
  <c r="V51"/>
  <c r="AQ52"/>
  <c r="AS52"/>
  <c r="V52"/>
  <c r="AQ53"/>
  <c r="AS53"/>
  <c r="V53"/>
  <c r="AQ54"/>
  <c r="AS54"/>
  <c r="V54"/>
  <c r="AQ55"/>
  <c r="AS55"/>
  <c r="V55"/>
  <c r="AQ56"/>
  <c r="AS56"/>
  <c r="V56"/>
  <c r="AQ57"/>
  <c r="AS57"/>
  <c r="V57"/>
  <c r="AQ58"/>
  <c r="AS58"/>
  <c r="V58"/>
  <c r="AQ59"/>
  <c r="AS59"/>
  <c r="V5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AO10"/>
  <c r="R10"/>
  <c r="AO11"/>
  <c r="R11"/>
  <c r="AO12"/>
  <c r="R12"/>
  <c r="AO13"/>
  <c r="R13"/>
  <c r="AO14"/>
  <c r="R14"/>
  <c r="AO15"/>
  <c r="R15"/>
  <c r="AO16"/>
  <c r="R16"/>
  <c r="AO17"/>
  <c r="R17"/>
  <c r="AO18"/>
  <c r="R18"/>
  <c r="AO19"/>
  <c r="R19"/>
  <c r="AO20"/>
  <c r="R20"/>
  <c r="AO21"/>
  <c r="R21"/>
  <c r="AO22"/>
  <c r="R22"/>
  <c r="AO23"/>
  <c r="R23"/>
  <c r="AO24"/>
  <c r="R24"/>
  <c r="AO25"/>
  <c r="R25"/>
  <c r="AO26"/>
  <c r="R26"/>
  <c r="AO27"/>
  <c r="R27"/>
  <c r="AO28"/>
  <c r="R28"/>
  <c r="AO29"/>
  <c r="R29"/>
  <c r="AO30"/>
  <c r="R30"/>
  <c r="AO31"/>
  <c r="R31"/>
  <c r="AO32"/>
  <c r="R32"/>
  <c r="AO33"/>
  <c r="R33"/>
  <c r="AO34"/>
  <c r="R34"/>
  <c r="AO35"/>
  <c r="R35"/>
  <c r="AO36"/>
  <c r="R36"/>
  <c r="AO37"/>
  <c r="R37"/>
  <c r="AO38"/>
  <c r="R38"/>
  <c r="AO39"/>
  <c r="R39"/>
  <c r="AO40"/>
  <c r="R40"/>
  <c r="AO41"/>
  <c r="R41"/>
  <c r="AO42"/>
  <c r="R42"/>
  <c r="AO43"/>
  <c r="R43"/>
  <c r="AO44"/>
  <c r="R44"/>
  <c r="AO45"/>
  <c r="R45"/>
  <c r="AO46"/>
  <c r="R46"/>
  <c r="AO47"/>
  <c r="R47"/>
  <c r="AO48"/>
  <c r="R48"/>
  <c r="AO49"/>
  <c r="R49"/>
  <c r="AO50"/>
  <c r="R50"/>
  <c r="AO51"/>
  <c r="R51"/>
  <c r="AO52"/>
  <c r="R52"/>
  <c r="AO53"/>
  <c r="R53"/>
  <c r="AO54"/>
  <c r="R54"/>
  <c r="AO55"/>
  <c r="R55"/>
  <c r="AO56"/>
  <c r="R56"/>
  <c r="AO57"/>
  <c r="R57"/>
  <c r="AO58"/>
  <c r="R58"/>
  <c r="AO59"/>
  <c r="R59"/>
  <c r="AO7"/>
  <c r="AO6"/>
  <c r="AO5"/>
  <c r="AO4"/>
  <c r="X7"/>
  <c r="L59"/>
  <c r="M59"/>
  <c r="BC59"/>
  <c r="AE59"/>
  <c r="BB59"/>
  <c r="AB59"/>
  <c r="AG59"/>
  <c r="BA59"/>
  <c r="AZ59"/>
  <c r="AK59"/>
  <c r="AI59"/>
  <c r="AT59"/>
  <c r="AV59"/>
  <c r="AR59"/>
  <c r="AP59"/>
  <c r="AN59"/>
  <c r="AD59"/>
  <c r="Y59"/>
  <c r="W59"/>
  <c r="U59"/>
  <c r="S59"/>
  <c r="Q59"/>
  <c r="L58"/>
  <c r="M58"/>
  <c r="BC58"/>
  <c r="AE58"/>
  <c r="BB58"/>
  <c r="AB58"/>
  <c r="AG58"/>
  <c r="BA58"/>
  <c r="AZ58"/>
  <c r="AK58"/>
  <c r="AI58"/>
  <c r="AT58"/>
  <c r="AV58"/>
  <c r="AR58"/>
  <c r="AP58"/>
  <c r="AN58"/>
  <c r="AD58"/>
  <c r="Y58"/>
  <c r="W58"/>
  <c r="U58"/>
  <c r="S58"/>
  <c r="Q58"/>
  <c r="L57"/>
  <c r="M57"/>
  <c r="BC57"/>
  <c r="AE57"/>
  <c r="BB57"/>
  <c r="AB57"/>
  <c r="AG57"/>
  <c r="BA57"/>
  <c r="AZ57"/>
  <c r="AK57"/>
  <c r="AI57"/>
  <c r="AT57"/>
  <c r="AV57"/>
  <c r="AR57"/>
  <c r="AP57"/>
  <c r="AN57"/>
  <c r="AD57"/>
  <c r="Y57"/>
  <c r="W57"/>
  <c r="U57"/>
  <c r="S57"/>
  <c r="Q57"/>
  <c r="L56"/>
  <c r="M56"/>
  <c r="BC56"/>
  <c r="AE56"/>
  <c r="BB56"/>
  <c r="AB56"/>
  <c r="AG56"/>
  <c r="BA56"/>
  <c r="AZ56"/>
  <c r="AK56"/>
  <c r="AI56"/>
  <c r="AT56"/>
  <c r="AV56"/>
  <c r="AR56"/>
  <c r="AP56"/>
  <c r="AN56"/>
  <c r="AD56"/>
  <c r="Y56"/>
  <c r="W56"/>
  <c r="U56"/>
  <c r="S56"/>
  <c r="Q56"/>
  <c r="L55"/>
  <c r="M55"/>
  <c r="BC55"/>
  <c r="AE55"/>
  <c r="BB55"/>
  <c r="AB55"/>
  <c r="AG55"/>
  <c r="BA55"/>
  <c r="AZ55"/>
  <c r="AK55"/>
  <c r="AI55"/>
  <c r="AT55"/>
  <c r="AV55"/>
  <c r="AR55"/>
  <c r="AP55"/>
  <c r="AN55"/>
  <c r="AD55"/>
  <c r="Y55"/>
  <c r="W55"/>
  <c r="U55"/>
  <c r="S55"/>
  <c r="Q55"/>
  <c r="L54"/>
  <c r="M54"/>
  <c r="BC54"/>
  <c r="AE54"/>
  <c r="BB54"/>
  <c r="AB54"/>
  <c r="AG54"/>
  <c r="BA54"/>
  <c r="AZ54"/>
  <c r="AK54"/>
  <c r="AI54"/>
  <c r="AT54"/>
  <c r="AV54"/>
  <c r="AR54"/>
  <c r="AP54"/>
  <c r="AN54"/>
  <c r="AD54"/>
  <c r="Y54"/>
  <c r="W54"/>
  <c r="U54"/>
  <c r="S54"/>
  <c r="Q54"/>
  <c r="L53"/>
  <c r="M53"/>
  <c r="BC53"/>
  <c r="AE53"/>
  <c r="BB53"/>
  <c r="AB53"/>
  <c r="AG53"/>
  <c r="BA53"/>
  <c r="AZ53"/>
  <c r="AK53"/>
  <c r="AI53"/>
  <c r="AT53"/>
  <c r="AV53"/>
  <c r="AR53"/>
  <c r="AP53"/>
  <c r="AN53"/>
  <c r="AD53"/>
  <c r="Y53"/>
  <c r="W53"/>
  <c r="U53"/>
  <c r="S53"/>
  <c r="Q53"/>
  <c r="L52"/>
  <c r="M52"/>
  <c r="BC52"/>
  <c r="AE52"/>
  <c r="BB52"/>
  <c r="AB52"/>
  <c r="AG52"/>
  <c r="BA52"/>
  <c r="AZ52"/>
  <c r="AK52"/>
  <c r="AI52"/>
  <c r="AT52"/>
  <c r="AV52"/>
  <c r="AR52"/>
  <c r="AP52"/>
  <c r="AN52"/>
  <c r="AD52"/>
  <c r="Y52"/>
  <c r="W52"/>
  <c r="U52"/>
  <c r="S52"/>
  <c r="Q52"/>
  <c r="L51"/>
  <c r="M51"/>
  <c r="BC51"/>
  <c r="AE51"/>
  <c r="BB51"/>
  <c r="AB51"/>
  <c r="AG51"/>
  <c r="BA51"/>
  <c r="AZ51"/>
  <c r="AK51"/>
  <c r="AI51"/>
  <c r="AT51"/>
  <c r="AV51"/>
  <c r="AR51"/>
  <c r="AP51"/>
  <c r="AN51"/>
  <c r="AD51"/>
  <c r="Y51"/>
  <c r="W51"/>
  <c r="U51"/>
  <c r="S51"/>
  <c r="Q51"/>
  <c r="L50"/>
  <c r="M50"/>
  <c r="BC50"/>
  <c r="AE50"/>
  <c r="BB50"/>
  <c r="AB50"/>
  <c r="AG50"/>
  <c r="BA50"/>
  <c r="AZ50"/>
  <c r="AK50"/>
  <c r="AI50"/>
  <c r="AT50"/>
  <c r="AV50"/>
  <c r="AR50"/>
  <c r="AP50"/>
  <c r="AN50"/>
  <c r="AD50"/>
  <c r="Y50"/>
  <c r="W50"/>
  <c r="U50"/>
  <c r="S50"/>
  <c r="Q50"/>
  <c r="L49"/>
  <c r="M49"/>
  <c r="BC49"/>
  <c r="AE49"/>
  <c r="BB49"/>
  <c r="AB49"/>
  <c r="AG49"/>
  <c r="BA49"/>
  <c r="AZ49"/>
  <c r="AK49"/>
  <c r="AI49"/>
  <c r="AT49"/>
  <c r="AV49"/>
  <c r="AR49"/>
  <c r="AP49"/>
  <c r="AN49"/>
  <c r="AD49"/>
  <c r="Y49"/>
  <c r="W49"/>
  <c r="U49"/>
  <c r="S49"/>
  <c r="Q49"/>
  <c r="L48"/>
  <c r="M48"/>
  <c r="BC48"/>
  <c r="AE48"/>
  <c r="BB48"/>
  <c r="AB48"/>
  <c r="AG48"/>
  <c r="BA48"/>
  <c r="AZ48"/>
  <c r="AK48"/>
  <c r="AI48"/>
  <c r="AT48"/>
  <c r="AV48"/>
  <c r="AR48"/>
  <c r="AP48"/>
  <c r="AN48"/>
  <c r="AD48"/>
  <c r="Y48"/>
  <c r="W48"/>
  <c r="U48"/>
  <c r="S48"/>
  <c r="Q48"/>
  <c r="L47"/>
  <c r="M47"/>
  <c r="BC47"/>
  <c r="AE47"/>
  <c r="BB47"/>
  <c r="AB47"/>
  <c r="AG47"/>
  <c r="BA47"/>
  <c r="AZ47"/>
  <c r="AK47"/>
  <c r="AI47"/>
  <c r="AT47"/>
  <c r="AV47"/>
  <c r="AR47"/>
  <c r="AP47"/>
  <c r="AN47"/>
  <c r="AD47"/>
  <c r="Y47"/>
  <c r="W47"/>
  <c r="U47"/>
  <c r="S47"/>
  <c r="Q47"/>
  <c r="L46"/>
  <c r="M46"/>
  <c r="BC46"/>
  <c r="AE46"/>
  <c r="BB46"/>
  <c r="AB46"/>
  <c r="AG46"/>
  <c r="BA46"/>
  <c r="AZ46"/>
  <c r="AK46"/>
  <c r="AI46"/>
  <c r="AT46"/>
  <c r="AV46"/>
  <c r="AR46"/>
  <c r="AP46"/>
  <c r="AN46"/>
  <c r="AD46"/>
  <c r="Y46"/>
  <c r="W46"/>
  <c r="U46"/>
  <c r="S46"/>
  <c r="Q46"/>
  <c r="L45"/>
  <c r="M45"/>
  <c r="BC45"/>
  <c r="AE45"/>
  <c r="BB45"/>
  <c r="AB45"/>
  <c r="AG45"/>
  <c r="BA45"/>
  <c r="AZ45"/>
  <c r="AK45"/>
  <c r="AI45"/>
  <c r="AT45"/>
  <c r="AV45"/>
  <c r="AR45"/>
  <c r="AP45"/>
  <c r="AN45"/>
  <c r="AD45"/>
  <c r="Y45"/>
  <c r="W45"/>
  <c r="U45"/>
  <c r="S45"/>
  <c r="Q45"/>
  <c r="L44"/>
  <c r="M44"/>
  <c r="BC44"/>
  <c r="AE44"/>
  <c r="BB44"/>
  <c r="AB44"/>
  <c r="AG44"/>
  <c r="BA44"/>
  <c r="AZ44"/>
  <c r="AK44"/>
  <c r="AI44"/>
  <c r="AT44"/>
  <c r="AV44"/>
  <c r="AR44"/>
  <c r="AP44"/>
  <c r="AN44"/>
  <c r="AD44"/>
  <c r="Y44"/>
  <c r="W44"/>
  <c r="U44"/>
  <c r="S44"/>
  <c r="Q44"/>
  <c r="L43"/>
  <c r="M43"/>
  <c r="BC43"/>
  <c r="AE43"/>
  <c r="BB43"/>
  <c r="AB43"/>
  <c r="AG43"/>
  <c r="BA43"/>
  <c r="AZ43"/>
  <c r="AK43"/>
  <c r="AI43"/>
  <c r="AT43"/>
  <c r="AV43"/>
  <c r="AR43"/>
  <c r="AP43"/>
  <c r="AN43"/>
  <c r="AD43"/>
  <c r="Y43"/>
  <c r="W43"/>
  <c r="U43"/>
  <c r="S43"/>
  <c r="Q43"/>
  <c r="L42"/>
  <c r="M42"/>
  <c r="BC42"/>
  <c r="AE42"/>
  <c r="BB42"/>
  <c r="AB42"/>
  <c r="AG42"/>
  <c r="BA42"/>
  <c r="AZ42"/>
  <c r="AK42"/>
  <c r="AI42"/>
  <c r="AT42"/>
  <c r="AV42"/>
  <c r="AR42"/>
  <c r="AP42"/>
  <c r="AN42"/>
  <c r="AD42"/>
  <c r="Y42"/>
  <c r="W42"/>
  <c r="U42"/>
  <c r="S42"/>
  <c r="Q42"/>
  <c r="L41"/>
  <c r="M41"/>
  <c r="BC41"/>
  <c r="AE41"/>
  <c r="BB41"/>
  <c r="AB41"/>
  <c r="AG41"/>
  <c r="BA41"/>
  <c r="AZ41"/>
  <c r="AK41"/>
  <c r="AI41"/>
  <c r="AT41"/>
  <c r="AV41"/>
  <c r="AR41"/>
  <c r="AP41"/>
  <c r="AN41"/>
  <c r="AD41"/>
  <c r="Y41"/>
  <c r="W41"/>
  <c r="U41"/>
  <c r="S41"/>
  <c r="Q41"/>
  <c r="L40"/>
  <c r="M40"/>
  <c r="BC40"/>
  <c r="AE40"/>
  <c r="BB40"/>
  <c r="AB40"/>
  <c r="AG40"/>
  <c r="BA40"/>
  <c r="AZ40"/>
  <c r="AK40"/>
  <c r="AI40"/>
  <c r="AT40"/>
  <c r="AV40"/>
  <c r="AR40"/>
  <c r="AP40"/>
  <c r="AN40"/>
  <c r="AD40"/>
  <c r="Y40"/>
  <c r="W40"/>
  <c r="U40"/>
  <c r="S40"/>
  <c r="Q40"/>
  <c r="L39"/>
  <c r="M39"/>
  <c r="BC39"/>
  <c r="AE39"/>
  <c r="BB39"/>
  <c r="AB39"/>
  <c r="AG39"/>
  <c r="BA39"/>
  <c r="AZ39"/>
  <c r="AK39"/>
  <c r="AI39"/>
  <c r="AT39"/>
  <c r="AV39"/>
  <c r="AR39"/>
  <c r="AP39"/>
  <c r="AN39"/>
  <c r="AD39"/>
  <c r="Y39"/>
  <c r="W39"/>
  <c r="U39"/>
  <c r="S39"/>
  <c r="Q39"/>
  <c r="L38"/>
  <c r="M38"/>
  <c r="BC38"/>
  <c r="AE38"/>
  <c r="BB38"/>
  <c r="AB38"/>
  <c r="AG38"/>
  <c r="BA38"/>
  <c r="AZ38"/>
  <c r="AK38"/>
  <c r="AI38"/>
  <c r="AT38"/>
  <c r="AV38"/>
  <c r="AR38"/>
  <c r="AP38"/>
  <c r="AN38"/>
  <c r="AD38"/>
  <c r="Y38"/>
  <c r="W38"/>
  <c r="U38"/>
  <c r="S38"/>
  <c r="Q38"/>
  <c r="L37"/>
  <c r="M37"/>
  <c r="BC37"/>
  <c r="AE37"/>
  <c r="BB37"/>
  <c r="AB37"/>
  <c r="AG37"/>
  <c r="BA37"/>
  <c r="AZ37"/>
  <c r="AK37"/>
  <c r="AI37"/>
  <c r="AT37"/>
  <c r="AV37"/>
  <c r="AR37"/>
  <c r="AP37"/>
  <c r="AN37"/>
  <c r="AD37"/>
  <c r="Y37"/>
  <c r="W37"/>
  <c r="U37"/>
  <c r="S37"/>
  <c r="Q37"/>
  <c r="L36"/>
  <c r="M36"/>
  <c r="BC36"/>
  <c r="AE36"/>
  <c r="BB36"/>
  <c r="AB36"/>
  <c r="AG36"/>
  <c r="BA36"/>
  <c r="AZ36"/>
  <c r="AK36"/>
  <c r="AI36"/>
  <c r="AT36"/>
  <c r="AV36"/>
  <c r="AR36"/>
  <c r="AP36"/>
  <c r="AN36"/>
  <c r="AD36"/>
  <c r="Y36"/>
  <c r="W36"/>
  <c r="U36"/>
  <c r="S36"/>
  <c r="Q36"/>
  <c r="L35"/>
  <c r="M35"/>
  <c r="BC35"/>
  <c r="AE35"/>
  <c r="BB35"/>
  <c r="AB35"/>
  <c r="AG35"/>
  <c r="BA35"/>
  <c r="AZ35"/>
  <c r="AK35"/>
  <c r="AI35"/>
  <c r="AT35"/>
  <c r="AV35"/>
  <c r="AR35"/>
  <c r="AP35"/>
  <c r="AN35"/>
  <c r="AD35"/>
  <c r="Y35"/>
  <c r="W35"/>
  <c r="U35"/>
  <c r="S35"/>
  <c r="Q35"/>
  <c r="L34"/>
  <c r="M34"/>
  <c r="BC34"/>
  <c r="AE34"/>
  <c r="BB34"/>
  <c r="AB34"/>
  <c r="AG34"/>
  <c r="BA34"/>
  <c r="AZ34"/>
  <c r="AK34"/>
  <c r="AI34"/>
  <c r="AT34"/>
  <c r="AV34"/>
  <c r="AR34"/>
  <c r="AP34"/>
  <c r="AN34"/>
  <c r="AD34"/>
  <c r="Y34"/>
  <c r="W34"/>
  <c r="U34"/>
  <c r="S34"/>
  <c r="Q34"/>
  <c r="L33"/>
  <c r="M33"/>
  <c r="BC33"/>
  <c r="AE33"/>
  <c r="BB33"/>
  <c r="AB33"/>
  <c r="AG33"/>
  <c r="BA33"/>
  <c r="AZ33"/>
  <c r="AK33"/>
  <c r="AI33"/>
  <c r="AT33"/>
  <c r="AV33"/>
  <c r="AR33"/>
  <c r="AP33"/>
  <c r="AN33"/>
  <c r="AD33"/>
  <c r="Y33"/>
  <c r="W33"/>
  <c r="U33"/>
  <c r="S33"/>
  <c r="Q33"/>
  <c r="L32"/>
  <c r="M32"/>
  <c r="BC32"/>
  <c r="AE32"/>
  <c r="BB32"/>
  <c r="AB32"/>
  <c r="AG32"/>
  <c r="BA32"/>
  <c r="AZ32"/>
  <c r="AK32"/>
  <c r="AI32"/>
  <c r="AT32"/>
  <c r="AV32"/>
  <c r="AR32"/>
  <c r="AP32"/>
  <c r="AN32"/>
  <c r="AD32"/>
  <c r="Y32"/>
  <c r="W32"/>
  <c r="U32"/>
  <c r="S32"/>
  <c r="Q32"/>
  <c r="L31"/>
  <c r="M31"/>
  <c r="BC31"/>
  <c r="AE31"/>
  <c r="BB31"/>
  <c r="AB31"/>
  <c r="AG31"/>
  <c r="BA31"/>
  <c r="AZ31"/>
  <c r="AK31"/>
  <c r="AI31"/>
  <c r="AT31"/>
  <c r="AV31"/>
  <c r="AR31"/>
  <c r="AP31"/>
  <c r="AN31"/>
  <c r="AD31"/>
  <c r="Y31"/>
  <c r="W31"/>
  <c r="U31"/>
  <c r="S31"/>
  <c r="Q31"/>
  <c r="L30"/>
  <c r="M30"/>
  <c r="BC30"/>
  <c r="AE30"/>
  <c r="BB30"/>
  <c r="AB30"/>
  <c r="AG30"/>
  <c r="BA30"/>
  <c r="AZ30"/>
  <c r="AK30"/>
  <c r="AI30"/>
  <c r="AT30"/>
  <c r="AV30"/>
  <c r="AR30"/>
  <c r="AP30"/>
  <c r="AN30"/>
  <c r="AD30"/>
  <c r="Y30"/>
  <c r="W30"/>
  <c r="U30"/>
  <c r="S30"/>
  <c r="Q30"/>
  <c r="L29"/>
  <c r="M29"/>
  <c r="BC29"/>
  <c r="AE29"/>
  <c r="BB29"/>
  <c r="AB29"/>
  <c r="AG29"/>
  <c r="BA29"/>
  <c r="AZ29"/>
  <c r="AK29"/>
  <c r="AI29"/>
  <c r="AT29"/>
  <c r="AV29"/>
  <c r="AR29"/>
  <c r="AP29"/>
  <c r="AN29"/>
  <c r="AD29"/>
  <c r="Y29"/>
  <c r="W29"/>
  <c r="U29"/>
  <c r="S29"/>
  <c r="Q29"/>
  <c r="L28"/>
  <c r="M28"/>
  <c r="BC28"/>
  <c r="AE28"/>
  <c r="BB28"/>
  <c r="AB28"/>
  <c r="AG28"/>
  <c r="BA28"/>
  <c r="AZ28"/>
  <c r="AK28"/>
  <c r="AI28"/>
  <c r="AT28"/>
  <c r="AV28"/>
  <c r="AR28"/>
  <c r="AP28"/>
  <c r="AN28"/>
  <c r="AD28"/>
  <c r="Y28"/>
  <c r="W28"/>
  <c r="U28"/>
  <c r="S28"/>
  <c r="Q28"/>
  <c r="L27"/>
  <c r="M27"/>
  <c r="BC27"/>
  <c r="AE27"/>
  <c r="BB27"/>
  <c r="AB27"/>
  <c r="AG27"/>
  <c r="BA27"/>
  <c r="AZ27"/>
  <c r="AK27"/>
  <c r="AI27"/>
  <c r="AT27"/>
  <c r="AV27"/>
  <c r="AR27"/>
  <c r="AP27"/>
  <c r="AN27"/>
  <c r="AD27"/>
  <c r="Y27"/>
  <c r="W27"/>
  <c r="U27"/>
  <c r="S27"/>
  <c r="Q27"/>
  <c r="L26"/>
  <c r="M26"/>
  <c r="BC26"/>
  <c r="AE26"/>
  <c r="BB26"/>
  <c r="AB26"/>
  <c r="AG26"/>
  <c r="BA26"/>
  <c r="AZ26"/>
  <c r="AK26"/>
  <c r="AI26"/>
  <c r="AT26"/>
  <c r="AV26"/>
  <c r="AR26"/>
  <c r="AP26"/>
  <c r="AN26"/>
  <c r="AD26"/>
  <c r="Y26"/>
  <c r="W26"/>
  <c r="U26"/>
  <c r="S26"/>
  <c r="Q26"/>
  <c r="L25"/>
  <c r="M25"/>
  <c r="BC25"/>
  <c r="AE25"/>
  <c r="BB25"/>
  <c r="AB25"/>
  <c r="AG25"/>
  <c r="BA25"/>
  <c r="AZ25"/>
  <c r="AK25"/>
  <c r="AI25"/>
  <c r="AT25"/>
  <c r="AV25"/>
  <c r="AR25"/>
  <c r="AP25"/>
  <c r="AN25"/>
  <c r="AD25"/>
  <c r="Y25"/>
  <c r="W25"/>
  <c r="U25"/>
  <c r="S25"/>
  <c r="Q25"/>
  <c r="L24"/>
  <c r="M24"/>
  <c r="BC24"/>
  <c r="AE24"/>
  <c r="BB24"/>
  <c r="AB24"/>
  <c r="AG24"/>
  <c r="BA24"/>
  <c r="AZ24"/>
  <c r="AK24"/>
  <c r="AI24"/>
  <c r="AT24"/>
  <c r="AV24"/>
  <c r="AR24"/>
  <c r="AP24"/>
  <c r="AN24"/>
  <c r="AD24"/>
  <c r="Y24"/>
  <c r="W24"/>
  <c r="U24"/>
  <c r="S24"/>
  <c r="Q24"/>
  <c r="L23"/>
  <c r="M23"/>
  <c r="BC23"/>
  <c r="AE23"/>
  <c r="BB23"/>
  <c r="AB23"/>
  <c r="AG23"/>
  <c r="BA23"/>
  <c r="AZ23"/>
  <c r="AK23"/>
  <c r="AI23"/>
  <c r="AT23"/>
  <c r="AV23"/>
  <c r="AR23"/>
  <c r="AP23"/>
  <c r="AN23"/>
  <c r="AD23"/>
  <c r="Y23"/>
  <c r="W23"/>
  <c r="U23"/>
  <c r="S23"/>
  <c r="Q23"/>
  <c r="L22"/>
  <c r="M22"/>
  <c r="BC22"/>
  <c r="AE22"/>
  <c r="BB22"/>
  <c r="AB22"/>
  <c r="AG22"/>
  <c r="BA22"/>
  <c r="AZ22"/>
  <c r="AK22"/>
  <c r="AI22"/>
  <c r="AT22"/>
  <c r="AV22"/>
  <c r="AR22"/>
  <c r="AP22"/>
  <c r="AN22"/>
  <c r="AD22"/>
  <c r="Y22"/>
  <c r="W22"/>
  <c r="U22"/>
  <c r="S22"/>
  <c r="Q22"/>
  <c r="L21"/>
  <c r="M21"/>
  <c r="BC21"/>
  <c r="AE21"/>
  <c r="BB21"/>
  <c r="AB21"/>
  <c r="AG21"/>
  <c r="BA21"/>
  <c r="AZ21"/>
  <c r="AK21"/>
  <c r="AI21"/>
  <c r="AT21"/>
  <c r="AV21"/>
  <c r="AR21"/>
  <c r="AP21"/>
  <c r="AN21"/>
  <c r="AD21"/>
  <c r="Y21"/>
  <c r="W21"/>
  <c r="U21"/>
  <c r="S21"/>
  <c r="Q21"/>
  <c r="L20"/>
  <c r="M20"/>
  <c r="BC20"/>
  <c r="AE20"/>
  <c r="BB20"/>
  <c r="AB20"/>
  <c r="AG20"/>
  <c r="BA20"/>
  <c r="AZ20"/>
  <c r="AK20"/>
  <c r="AI20"/>
  <c r="AT20"/>
  <c r="AV20"/>
  <c r="AR20"/>
  <c r="AP20"/>
  <c r="AN20"/>
  <c r="AD20"/>
  <c r="Y20"/>
  <c r="W20"/>
  <c r="U20"/>
  <c r="S20"/>
  <c r="Q20"/>
  <c r="L19"/>
  <c r="M19"/>
  <c r="BC19"/>
  <c r="AE19"/>
  <c r="BB19"/>
  <c r="AB19"/>
  <c r="AG19"/>
  <c r="BA19"/>
  <c r="AZ19"/>
  <c r="AK19"/>
  <c r="AI19"/>
  <c r="AT19"/>
  <c r="AV19"/>
  <c r="AR19"/>
  <c r="AP19"/>
  <c r="AN19"/>
  <c r="AD19"/>
  <c r="Y19"/>
  <c r="W19"/>
  <c r="U19"/>
  <c r="S19"/>
  <c r="Q19"/>
  <c r="L18"/>
  <c r="M18"/>
  <c r="BC18"/>
  <c r="AE18"/>
  <c r="BB18"/>
  <c r="AB18"/>
  <c r="AG18"/>
  <c r="BA18"/>
  <c r="AZ18"/>
  <c r="AK18"/>
  <c r="AI18"/>
  <c r="AT18"/>
  <c r="AV18"/>
  <c r="AR18"/>
  <c r="AP18"/>
  <c r="AN18"/>
  <c r="AD18"/>
  <c r="Y18"/>
  <c r="W18"/>
  <c r="U18"/>
  <c r="S18"/>
  <c r="Q18"/>
  <c r="L17"/>
  <c r="M17"/>
  <c r="BC17"/>
  <c r="AE17"/>
  <c r="BB17"/>
  <c r="AB17"/>
  <c r="AG17"/>
  <c r="BA17"/>
  <c r="AZ17"/>
  <c r="AK17"/>
  <c r="AI17"/>
  <c r="AT17"/>
  <c r="AV17"/>
  <c r="AR17"/>
  <c r="AP17"/>
  <c r="AN17"/>
  <c r="AD17"/>
  <c r="Y17"/>
  <c r="W17"/>
  <c r="U17"/>
  <c r="S17"/>
  <c r="Q17"/>
  <c r="L16"/>
  <c r="M16"/>
  <c r="BC16"/>
  <c r="AE16"/>
  <c r="BB16"/>
  <c r="AB16"/>
  <c r="AG16"/>
  <c r="BA16"/>
  <c r="AZ16"/>
  <c r="AK16"/>
  <c r="AI16"/>
  <c r="AT16"/>
  <c r="AV16"/>
  <c r="AR16"/>
  <c r="AP16"/>
  <c r="AN16"/>
  <c r="AD16"/>
  <c r="Y16"/>
  <c r="W16"/>
  <c r="U16"/>
  <c r="S16"/>
  <c r="Q16"/>
  <c r="L15"/>
  <c r="M15"/>
  <c r="BC15"/>
  <c r="AE15"/>
  <c r="BB15"/>
  <c r="AB15"/>
  <c r="AG15"/>
  <c r="BA15"/>
  <c r="AZ15"/>
  <c r="AK15"/>
  <c r="AI15"/>
  <c r="AT15"/>
  <c r="AV15"/>
  <c r="AR15"/>
  <c r="AP15"/>
  <c r="AN15"/>
  <c r="AD15"/>
  <c r="Y15"/>
  <c r="W15"/>
  <c r="U15"/>
  <c r="S15"/>
  <c r="Q15"/>
  <c r="L14"/>
  <c r="M14"/>
  <c r="BC14"/>
  <c r="AE14"/>
  <c r="BB14"/>
  <c r="AB14"/>
  <c r="AG14"/>
  <c r="BA14"/>
  <c r="AZ14"/>
  <c r="AK14"/>
  <c r="AI14"/>
  <c r="AT14"/>
  <c r="AV14"/>
  <c r="AR14"/>
  <c r="AP14"/>
  <c r="AN14"/>
  <c r="AD14"/>
  <c r="Y14"/>
  <c r="W14"/>
  <c r="U14"/>
  <c r="S14"/>
  <c r="Q14"/>
  <c r="L13"/>
  <c r="M13"/>
  <c r="BC13"/>
  <c r="AE13"/>
  <c r="BB13"/>
  <c r="AB13"/>
  <c r="AG13"/>
  <c r="BA13"/>
  <c r="AZ13"/>
  <c r="AK13"/>
  <c r="AI13"/>
  <c r="AT13"/>
  <c r="AV13"/>
  <c r="AR13"/>
  <c r="AP13"/>
  <c r="AN13"/>
  <c r="AD13"/>
  <c r="Y13"/>
  <c r="W13"/>
  <c r="U13"/>
  <c r="S13"/>
  <c r="Q13"/>
  <c r="L12"/>
  <c r="M12"/>
  <c r="BC12"/>
  <c r="AE12"/>
  <c r="BB12"/>
  <c r="AB12"/>
  <c r="AG12"/>
  <c r="BA12"/>
  <c r="AZ12"/>
  <c r="AK12"/>
  <c r="AI12"/>
  <c r="AT12"/>
  <c r="AV12"/>
  <c r="AR12"/>
  <c r="AP12"/>
  <c r="AN12"/>
  <c r="AD12"/>
  <c r="Y12"/>
  <c r="W12"/>
  <c r="U12"/>
  <c r="S12"/>
  <c r="Q12"/>
  <c r="L11"/>
  <c r="M11"/>
  <c r="BC11"/>
  <c r="AE11"/>
  <c r="BB11"/>
  <c r="AB11"/>
  <c r="AG11"/>
  <c r="BA11"/>
  <c r="AZ11"/>
  <c r="AK11"/>
  <c r="AI11"/>
  <c r="AT11"/>
  <c r="AV11"/>
  <c r="AR11"/>
  <c r="AP11"/>
  <c r="AN11"/>
  <c r="AD11"/>
  <c r="Y11"/>
  <c r="W11"/>
  <c r="U11"/>
  <c r="S11"/>
  <c r="Q11"/>
  <c r="L10"/>
  <c r="M10"/>
  <c r="BC10"/>
  <c r="AE10"/>
  <c r="BB10"/>
  <c r="AB10"/>
  <c r="AG10"/>
  <c r="BA10"/>
  <c r="AZ10"/>
  <c r="AK10"/>
  <c r="AI10"/>
  <c r="AT10"/>
  <c r="AV10"/>
  <c r="AR10"/>
  <c r="AP10"/>
  <c r="AN10"/>
  <c r="AD10"/>
  <c r="Y10"/>
  <c r="W10"/>
  <c r="U10"/>
  <c r="S10"/>
  <c r="Q10"/>
  <c r="L4"/>
  <c r="L5"/>
  <c r="M6" i="2"/>
  <c r="T18"/>
  <c r="U18"/>
  <c r="Q18"/>
  <c r="R18"/>
  <c r="X18"/>
  <c r="K18"/>
  <c r="T10"/>
  <c r="U10"/>
  <c r="Q10"/>
  <c r="R10"/>
  <c r="X10"/>
  <c r="K10"/>
  <c r="T11"/>
  <c r="U11"/>
  <c r="Q11"/>
  <c r="R11"/>
  <c r="X11"/>
  <c r="K11"/>
  <c r="T12"/>
  <c r="U12"/>
  <c r="Q12"/>
  <c r="R12"/>
  <c r="X12"/>
  <c r="K12"/>
  <c r="T13"/>
  <c r="U13"/>
  <c r="Q13"/>
  <c r="R13"/>
  <c r="X13"/>
  <c r="K13"/>
  <c r="T14"/>
  <c r="U14"/>
  <c r="Q14"/>
  <c r="R14"/>
  <c r="X14"/>
  <c r="K14"/>
  <c r="T15"/>
  <c r="U15"/>
  <c r="Q15"/>
  <c r="R15"/>
  <c r="X15"/>
  <c r="K15"/>
  <c r="T16"/>
  <c r="U16"/>
  <c r="Q16"/>
  <c r="R16"/>
  <c r="X16"/>
  <c r="K16"/>
  <c r="T17"/>
  <c r="U17"/>
  <c r="Q17"/>
  <c r="R17"/>
  <c r="X17"/>
  <c r="K17"/>
  <c r="T19"/>
  <c r="U19"/>
  <c r="Q19"/>
  <c r="R19"/>
  <c r="X19"/>
  <c r="K19"/>
  <c r="T20"/>
  <c r="U20"/>
  <c r="Q20"/>
  <c r="R20"/>
  <c r="X20"/>
  <c r="K20"/>
  <c r="T21"/>
  <c r="U21"/>
  <c r="Q21"/>
  <c r="R21"/>
  <c r="X21"/>
  <c r="K21"/>
  <c r="T22"/>
  <c r="U22"/>
  <c r="Q22"/>
  <c r="R22"/>
  <c r="X22"/>
  <c r="K22"/>
  <c r="T23"/>
  <c r="U23"/>
  <c r="Q23"/>
  <c r="R23"/>
  <c r="X23"/>
  <c r="K23"/>
  <c r="T24"/>
  <c r="U24"/>
  <c r="Q24"/>
  <c r="R24"/>
  <c r="X24"/>
  <c r="K24"/>
  <c r="T25"/>
  <c r="U25"/>
  <c r="Q25"/>
  <c r="R25"/>
  <c r="X25"/>
  <c r="K25"/>
  <c r="T26"/>
  <c r="U26"/>
  <c r="Q26"/>
  <c r="R26"/>
  <c r="X26"/>
  <c r="K26"/>
  <c r="T27"/>
  <c r="U27"/>
  <c r="Q27"/>
  <c r="R27"/>
  <c r="X27"/>
  <c r="K27"/>
  <c r="T28"/>
  <c r="U28"/>
  <c r="Q28"/>
  <c r="R28"/>
  <c r="X28"/>
  <c r="K28"/>
  <c r="T29"/>
  <c r="U29"/>
  <c r="Q29"/>
  <c r="R29"/>
  <c r="X29"/>
  <c r="K29"/>
  <c r="T30"/>
  <c r="U30"/>
  <c r="Q30"/>
  <c r="R30"/>
  <c r="X30"/>
  <c r="K30"/>
  <c r="T31"/>
  <c r="U31"/>
  <c r="Q31"/>
  <c r="R31"/>
  <c r="X31"/>
  <c r="K31"/>
  <c r="T32"/>
  <c r="U32"/>
  <c r="Q32"/>
  <c r="R32"/>
  <c r="X32"/>
  <c r="K32"/>
  <c r="M7"/>
  <c r="M5"/>
  <c r="O9" i="5"/>
  <c r="P9"/>
  <c r="Q9"/>
  <c r="G8"/>
  <c r="I8"/>
  <c r="J8"/>
  <c r="G9"/>
  <c r="I9"/>
  <c r="J9"/>
  <c r="G10"/>
  <c r="I10"/>
  <c r="J10"/>
  <c r="G11"/>
  <c r="I11"/>
  <c r="J11"/>
  <c r="G12"/>
  <c r="I12"/>
  <c r="J12"/>
  <c r="G13"/>
  <c r="I13"/>
  <c r="J13"/>
  <c r="G14"/>
  <c r="I14"/>
  <c r="J14"/>
  <c r="G15"/>
  <c r="I15"/>
  <c r="J15"/>
  <c r="G16"/>
  <c r="I16"/>
  <c r="J16"/>
  <c r="G17"/>
  <c r="I17"/>
  <c r="J17"/>
  <c r="G18"/>
  <c r="I18"/>
  <c r="J18"/>
  <c r="G19"/>
  <c r="I19"/>
  <c r="J19"/>
  <c r="G20"/>
  <c r="I20"/>
  <c r="J20"/>
  <c r="G21"/>
  <c r="I21"/>
  <c r="J21"/>
  <c r="G22"/>
  <c r="I22"/>
  <c r="J22"/>
  <c r="G23"/>
  <c r="I23"/>
  <c r="J23"/>
  <c r="G24"/>
  <c r="I24"/>
  <c r="J24"/>
  <c r="G25"/>
  <c r="I25"/>
  <c r="J25"/>
  <c r="G26"/>
  <c r="I26"/>
  <c r="J26"/>
  <c r="G27"/>
  <c r="I27"/>
  <c r="J27"/>
  <c r="G28"/>
  <c r="I28"/>
  <c r="J28"/>
  <c r="G29"/>
  <c r="I29"/>
  <c r="J29"/>
  <c r="G30"/>
  <c r="I30"/>
  <c r="J30"/>
  <c r="G31"/>
  <c r="I31"/>
  <c r="J31"/>
  <c r="G32"/>
  <c r="I32"/>
  <c r="J32"/>
  <c r="G33"/>
  <c r="I33"/>
  <c r="J33"/>
  <c r="G34"/>
  <c r="I34"/>
  <c r="J34"/>
  <c r="G35"/>
  <c r="I35"/>
  <c r="J35"/>
  <c r="G36"/>
  <c r="I36"/>
  <c r="J36"/>
  <c r="G37"/>
  <c r="I37"/>
  <c r="J37"/>
  <c r="G38"/>
  <c r="I38"/>
  <c r="J38"/>
  <c r="G39"/>
  <c r="I39"/>
  <c r="J39"/>
  <c r="G40"/>
  <c r="I40"/>
  <c r="J40"/>
  <c r="G41"/>
  <c r="I41"/>
  <c r="J41"/>
  <c r="G42"/>
  <c r="I42"/>
  <c r="J42"/>
  <c r="G43"/>
  <c r="I43"/>
  <c r="J43"/>
  <c r="G44"/>
  <c r="I44"/>
  <c r="J44"/>
  <c r="G45"/>
  <c r="I45"/>
  <c r="J45"/>
  <c r="G46"/>
  <c r="I46"/>
  <c r="J46"/>
  <c r="G47"/>
  <c r="I47"/>
  <c r="J47"/>
  <c r="G48"/>
  <c r="I48"/>
  <c r="J48"/>
  <c r="G49"/>
  <c r="I49"/>
  <c r="J49"/>
  <c r="G50"/>
  <c r="I50"/>
  <c r="J50"/>
  <c r="G51"/>
  <c r="I51"/>
  <c r="J51"/>
  <c r="G52"/>
  <c r="I52"/>
  <c r="J52"/>
  <c r="G53"/>
  <c r="I53"/>
  <c r="J53"/>
  <c r="G54"/>
  <c r="I54"/>
  <c r="J54"/>
  <c r="G55"/>
  <c r="I55"/>
  <c r="J55"/>
  <c r="G56"/>
  <c r="I56"/>
  <c r="J56"/>
  <c r="G57"/>
  <c r="I57"/>
  <c r="J57"/>
  <c r="L5"/>
  <c r="R9"/>
  <c r="S9"/>
  <c r="O10"/>
  <c r="P10"/>
  <c r="Q10"/>
  <c r="R10"/>
  <c r="S10"/>
  <c r="O11"/>
  <c r="P11"/>
  <c r="Q11"/>
  <c r="R11"/>
  <c r="S11"/>
  <c r="O12"/>
  <c r="P12"/>
  <c r="Q12"/>
  <c r="R12"/>
  <c r="S12"/>
  <c r="O13"/>
  <c r="P13"/>
  <c r="Q13"/>
  <c r="R13"/>
  <c r="S13"/>
  <c r="O14"/>
  <c r="P14"/>
  <c r="Q14"/>
  <c r="R14"/>
  <c r="S14"/>
  <c r="O15"/>
  <c r="P15"/>
  <c r="Q15"/>
  <c r="R15"/>
  <c r="S15"/>
  <c r="O16"/>
  <c r="P16"/>
  <c r="Q16"/>
  <c r="R16"/>
  <c r="S16"/>
  <c r="O17"/>
  <c r="P17"/>
  <c r="Q17"/>
  <c r="R17"/>
  <c r="S17"/>
  <c r="O18"/>
  <c r="P18"/>
  <c r="Q18"/>
  <c r="R18"/>
  <c r="S18"/>
  <c r="O19"/>
  <c r="P19"/>
  <c r="Q19"/>
  <c r="R19"/>
  <c r="S19"/>
  <c r="O20"/>
  <c r="P20"/>
  <c r="Q20"/>
  <c r="R20"/>
  <c r="S20"/>
  <c r="O21"/>
  <c r="P21"/>
  <c r="Q21"/>
  <c r="R21"/>
  <c r="S21"/>
  <c r="O22"/>
  <c r="P22"/>
  <c r="Q22"/>
  <c r="R22"/>
  <c r="S22"/>
  <c r="O23"/>
  <c r="P23"/>
  <c r="Q23"/>
  <c r="R23"/>
  <c r="S23"/>
  <c r="O24"/>
  <c r="P24"/>
  <c r="Q24"/>
  <c r="R24"/>
  <c r="S24"/>
  <c r="O25"/>
  <c r="P25"/>
  <c r="Q25"/>
  <c r="R25"/>
  <c r="S25"/>
  <c r="O26"/>
  <c r="P26"/>
  <c r="Q26"/>
  <c r="R26"/>
  <c r="S26"/>
  <c r="O27"/>
  <c r="P27"/>
  <c r="Q27"/>
  <c r="R27"/>
  <c r="S27"/>
  <c r="O28"/>
  <c r="P28"/>
  <c r="Q28"/>
  <c r="R28"/>
  <c r="S28"/>
  <c r="O29"/>
  <c r="P29"/>
  <c r="Q29"/>
  <c r="R29"/>
  <c r="S29"/>
  <c r="O30"/>
  <c r="P30"/>
  <c r="Q30"/>
  <c r="R30"/>
  <c r="S30"/>
  <c r="O31"/>
  <c r="P31"/>
  <c r="Q31"/>
  <c r="R31"/>
  <c r="S31"/>
  <c r="O32"/>
  <c r="P32"/>
  <c r="Q32"/>
  <c r="R32"/>
  <c r="S32"/>
  <c r="O33"/>
  <c r="P33"/>
  <c r="Q33"/>
  <c r="R33"/>
  <c r="S33"/>
  <c r="O34"/>
  <c r="P34"/>
  <c r="Q34"/>
  <c r="R34"/>
  <c r="S34"/>
  <c r="O35"/>
  <c r="P35"/>
  <c r="Q35"/>
  <c r="R35"/>
  <c r="S35"/>
  <c r="O36"/>
  <c r="P36"/>
  <c r="Q36"/>
  <c r="R36"/>
  <c r="S36"/>
  <c r="O37"/>
  <c r="P37"/>
  <c r="Q37"/>
  <c r="R37"/>
  <c r="S37"/>
  <c r="O38"/>
  <c r="P38"/>
  <c r="Q38"/>
  <c r="R38"/>
  <c r="S38"/>
  <c r="O39"/>
  <c r="P39"/>
  <c r="Q39"/>
  <c r="R39"/>
  <c r="S39"/>
  <c r="O40"/>
  <c r="P40"/>
  <c r="Q40"/>
  <c r="R40"/>
  <c r="S40"/>
  <c r="O41"/>
  <c r="P41"/>
  <c r="Q41"/>
  <c r="R41"/>
  <c r="S41"/>
  <c r="O42"/>
  <c r="P42"/>
  <c r="Q42"/>
  <c r="R42"/>
  <c r="S42"/>
  <c r="O43"/>
  <c r="P43"/>
  <c r="Q43"/>
  <c r="R43"/>
  <c r="S43"/>
  <c r="O44"/>
  <c r="P44"/>
  <c r="Q44"/>
  <c r="R44"/>
  <c r="S44"/>
  <c r="O45"/>
  <c r="P45"/>
  <c r="Q45"/>
  <c r="R45"/>
  <c r="S45"/>
  <c r="O46"/>
  <c r="P46"/>
  <c r="Q46"/>
  <c r="R46"/>
  <c r="S46"/>
  <c r="O47"/>
  <c r="P47"/>
  <c r="Q47"/>
  <c r="R47"/>
  <c r="S47"/>
  <c r="O48"/>
  <c r="P48"/>
  <c r="Q48"/>
  <c r="R48"/>
  <c r="S48"/>
  <c r="O49"/>
  <c r="P49"/>
  <c r="Q49"/>
  <c r="R49"/>
  <c r="S49"/>
  <c r="O50"/>
  <c r="P50"/>
  <c r="Q50"/>
  <c r="R50"/>
  <c r="S50"/>
  <c r="O51"/>
  <c r="P51"/>
  <c r="Q51"/>
  <c r="R51"/>
  <c r="S51"/>
  <c r="O52"/>
  <c r="P52"/>
  <c r="Q52"/>
  <c r="R52"/>
  <c r="S52"/>
  <c r="O53"/>
  <c r="P53"/>
  <c r="Q53"/>
  <c r="R53"/>
  <c r="S53"/>
  <c r="O54"/>
  <c r="P54"/>
  <c r="Q54"/>
  <c r="R54"/>
  <c r="S54"/>
  <c r="O55"/>
  <c r="P55"/>
  <c r="Q55"/>
  <c r="R55"/>
  <c r="S55"/>
  <c r="O56"/>
  <c r="P56"/>
  <c r="Q56"/>
  <c r="R56"/>
  <c r="S56"/>
  <c r="O57"/>
  <c r="P57"/>
  <c r="Q57"/>
  <c r="R57"/>
  <c r="S57"/>
  <c r="R8"/>
  <c r="P8"/>
  <c r="Q8"/>
  <c r="S8"/>
  <c r="O8"/>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L6"/>
  <c r="L4"/>
  <c r="S10" i="2"/>
  <c r="P10"/>
  <c r="W10"/>
  <c r="J10"/>
  <c r="S11"/>
  <c r="P11"/>
  <c r="W11"/>
  <c r="J11"/>
  <c r="S12"/>
  <c r="P12"/>
  <c r="W12"/>
  <c r="J12"/>
  <c r="S13"/>
  <c r="P13"/>
  <c r="W13"/>
  <c r="J13"/>
  <c r="S14"/>
  <c r="P14"/>
  <c r="W14"/>
  <c r="J14"/>
  <c r="S15"/>
  <c r="P15"/>
  <c r="W15"/>
  <c r="J15"/>
  <c r="S16"/>
  <c r="P16"/>
  <c r="W16"/>
  <c r="J16"/>
  <c r="S17"/>
  <c r="P17"/>
  <c r="W17"/>
  <c r="J17"/>
  <c r="S18"/>
  <c r="P18"/>
  <c r="W18"/>
  <c r="J18"/>
  <c r="S19"/>
  <c r="P19"/>
  <c r="W19"/>
  <c r="J19"/>
  <c r="S20"/>
  <c r="P20"/>
  <c r="W20"/>
  <c r="J20"/>
  <c r="S21"/>
  <c r="P21"/>
  <c r="W21"/>
  <c r="J21"/>
  <c r="S22"/>
  <c r="P22"/>
  <c r="W22"/>
  <c r="J22"/>
  <c r="S23"/>
  <c r="P23"/>
  <c r="W23"/>
  <c r="J23"/>
  <c r="S24"/>
  <c r="P24"/>
  <c r="W24"/>
  <c r="J24"/>
  <c r="S25"/>
  <c r="P25"/>
  <c r="W25"/>
  <c r="J25"/>
  <c r="S26"/>
  <c r="P26"/>
  <c r="W26"/>
  <c r="J26"/>
  <c r="S27"/>
  <c r="P27"/>
  <c r="W27"/>
  <c r="J27"/>
  <c r="S28"/>
  <c r="P28"/>
  <c r="W28"/>
  <c r="J28"/>
  <c r="S29"/>
  <c r="P29"/>
  <c r="W29"/>
  <c r="J29"/>
  <c r="S30"/>
  <c r="P30"/>
  <c r="W30"/>
  <c r="J30"/>
  <c r="S31"/>
  <c r="P31"/>
  <c r="W31"/>
  <c r="J31"/>
  <c r="S32"/>
  <c r="P32"/>
  <c r="W32"/>
  <c r="J32"/>
  <c r="M4"/>
  <c r="K3"/>
  <c r="M8"/>
  <c r="G3"/>
  <c r="D3"/>
  <c r="AC4" i="1"/>
  <c r="AE4"/>
  <c r="AF4"/>
  <c r="AB4"/>
  <c r="AC5"/>
  <c r="AE5"/>
  <c r="AF5"/>
  <c r="AB5"/>
  <c r="AC6"/>
  <c r="AE6"/>
  <c r="AF6"/>
  <c r="AB6"/>
  <c r="AC7"/>
  <c r="AE7"/>
  <c r="AF7"/>
  <c r="AB7"/>
  <c r="AZ7"/>
  <c r="AG7"/>
  <c r="BA7"/>
  <c r="BB7"/>
  <c r="AH7"/>
  <c r="BC7"/>
  <c r="AJ7"/>
  <c r="AU7"/>
  <c r="L6"/>
  <c r="AZ6"/>
  <c r="M6"/>
  <c r="AG6"/>
  <c r="BA6"/>
  <c r="BB6"/>
  <c r="AH6"/>
  <c r="BC6"/>
  <c r="K6"/>
  <c r="AJ6"/>
  <c r="AU6"/>
  <c r="AZ5"/>
  <c r="M5"/>
  <c r="AG5"/>
  <c r="BA5"/>
  <c r="BB5"/>
  <c r="AH5"/>
  <c r="BC5"/>
  <c r="K5"/>
  <c r="AJ5"/>
  <c r="AU5"/>
  <c r="AZ4"/>
  <c r="M4"/>
  <c r="AG4"/>
  <c r="BA4"/>
  <c r="BB4"/>
  <c r="AH4"/>
  <c r="BC4"/>
  <c r="K4"/>
  <c r="AJ4"/>
  <c r="AU4"/>
  <c r="AI4"/>
  <c r="AT4"/>
  <c r="X4"/>
  <c r="AK7"/>
  <c r="AI7"/>
  <c r="AT7"/>
  <c r="AL7"/>
  <c r="AW7"/>
  <c r="Z7"/>
  <c r="AV7"/>
  <c r="Y7"/>
  <c r="W7"/>
  <c r="V7"/>
  <c r="U7"/>
  <c r="T7"/>
  <c r="S7"/>
  <c r="R7"/>
  <c r="AN7"/>
  <c r="Q7"/>
  <c r="AK6"/>
  <c r="AI6"/>
  <c r="AT6"/>
  <c r="AL6"/>
  <c r="AW6"/>
  <c r="Z6"/>
  <c r="AV6"/>
  <c r="Y6"/>
  <c r="X6"/>
  <c r="W6"/>
  <c r="AQ6"/>
  <c r="AS6"/>
  <c r="V6"/>
  <c r="AR6"/>
  <c r="U6"/>
  <c r="T6"/>
  <c r="AP6"/>
  <c r="S6"/>
  <c r="R6"/>
  <c r="AN6"/>
  <c r="Q6"/>
  <c r="AK5"/>
  <c r="AI5"/>
  <c r="AT5"/>
  <c r="AL5"/>
  <c r="AW5"/>
  <c r="Z5"/>
  <c r="AV5"/>
  <c r="Y5"/>
  <c r="X5"/>
  <c r="W5"/>
  <c r="AQ5"/>
  <c r="AS5"/>
  <c r="V5"/>
  <c r="AR5"/>
  <c r="U5"/>
  <c r="T5"/>
  <c r="AP5"/>
  <c r="S5"/>
  <c r="R5"/>
  <c r="AN5"/>
  <c r="Q5"/>
  <c r="AK4"/>
  <c r="AL4"/>
  <c r="AW4"/>
  <c r="Z4"/>
  <c r="AV4"/>
  <c r="Y4"/>
  <c r="W4"/>
  <c r="AQ4"/>
  <c r="AS4"/>
  <c r="V4"/>
  <c r="AR4"/>
  <c r="U4"/>
  <c r="T4"/>
  <c r="AP4"/>
  <c r="S4"/>
  <c r="R4"/>
  <c r="AN4"/>
  <c r="Q4"/>
  <c r="AR7"/>
  <c r="AD7"/>
  <c r="AQ7"/>
  <c r="AS7"/>
  <c r="AP7"/>
  <c r="AD6"/>
  <c r="AD5"/>
  <c r="AD4"/>
  <c r="X3" i="2"/>
</calcChain>
</file>

<file path=xl/sharedStrings.xml><?xml version="1.0" encoding="utf-8"?>
<sst xmlns="http://schemas.openxmlformats.org/spreadsheetml/2006/main" count="394" uniqueCount="199">
  <si>
    <t>Sample</t>
  </si>
  <si>
    <t>fwax (f not from CH3)</t>
  </si>
  <si>
    <t>fpa (f not from CH3)</t>
  </si>
  <si>
    <t>partial derivatives</t>
  </si>
  <si>
    <t>dDwax, SMOW</t>
  </si>
  <si>
    <t>dDsa, refgas</t>
  </si>
  <si>
    <t>dDrefgas, SMOW</t>
  </si>
  <si>
    <t>dDpame, refgas</t>
  </si>
  <si>
    <t>dDpa, SMOW</t>
  </si>
  <si>
    <t>dDsa, SMOW</t>
  </si>
  <si>
    <t>dDpame, SMOW</t>
  </si>
  <si>
    <t>dDMe, SMOW</t>
  </si>
  <si>
    <t>dwax/ dsa,refgas</t>
  </si>
  <si>
    <t>dwax/ drefgas, SMOW</t>
  </si>
  <si>
    <t>dwax/ dpame, refgas</t>
  </si>
  <si>
    <t>dwax/ dpa, refgas</t>
  </si>
  <si>
    <t>dDstd, refgas</t>
  </si>
  <si>
    <t>dDstd, SMOW</t>
  </si>
  <si>
    <t>1s dDsa, refgas</t>
  </si>
  <si>
    <t>1s dDrefgas, SMOW</t>
  </si>
  <si>
    <t>1s dDpame, refgas</t>
  </si>
  <si>
    <t>1s dDpa, SMOW</t>
  </si>
  <si>
    <t>1s dDwax, SMOW</t>
  </si>
  <si>
    <t>1s dDsa, SMOW</t>
  </si>
  <si>
    <t>1s dDpame, SMOW</t>
  </si>
  <si>
    <t>1s dDMe, SMOW</t>
  </si>
  <si>
    <t>e wax,H2O</t>
  </si>
  <si>
    <t>1s e wax,H2O</t>
  </si>
  <si>
    <t>dD water, SMOW</t>
  </si>
  <si>
    <t>1s dD water, SMOW</t>
  </si>
  <si>
    <t>INPUT</t>
  </si>
  <si>
    <t>RESULTS</t>
  </si>
  <si>
    <t>CALCULATIONS</t>
  </si>
  <si>
    <t>Do Not Change These Columns</t>
  </si>
  <si>
    <t>INPUTS w/o per-mil</t>
  </si>
  <si>
    <t>Do Not Change</t>
  </si>
  <si>
    <t>"Samples" sheet, Explanation of Columns:</t>
  </si>
  <si>
    <t>OUTPUT</t>
  </si>
  <si>
    <t>"Reference Gas" sheet, Explanation of Columns:</t>
  </si>
  <si>
    <t>1s dDstd, refgas</t>
  </si>
  <si>
    <t>1s dDstd, SMOW</t>
  </si>
  <si>
    <t>Name of Sample</t>
  </si>
  <si>
    <t>dD of the sodium phthalate salt on the SMOW scale</t>
  </si>
  <si>
    <t>fraction of the hydrogen in the unknown molecule NOT added from derivatizing agent (fwax = 1 for n-alkanes, ketones)</t>
  </si>
  <si>
    <t>fraction of the hydrogen in dimethyl phthalate NOT added from derivatizing agent</t>
  </si>
  <si>
    <t>apparent fractionation between source water and lipid</t>
  </si>
  <si>
    <t>dD value of the unknown molecule on the VSMOW scale</t>
  </si>
  <si>
    <t>uncertainty in the dD value of the unknown molecule on the VSMOW scale</t>
  </si>
  <si>
    <t>dD of the methylated phthalic acid (dimethyl phthalate) on the VSMOW scale</t>
  </si>
  <si>
    <t>1-sigma uncertainty in dD of the methylated phthalic acid (dimethyl phthalate) on the VSMOW scale</t>
  </si>
  <si>
    <t>dD of the hydrogen added from the derivatizing agent on the VSMOW scale</t>
  </si>
  <si>
    <t>1-sigma uncertainty in dD of the hydrogen added from the derivatizing agent on the VSMOW scale</t>
  </si>
  <si>
    <t>dD of non-exchangeable hydrogen in the unknown molecule on the VSMOW scale</t>
  </si>
  <si>
    <t>1-sigma uncertainty in dD of non-exchangeable hydrogen in the unknown molecule on the VSMOW scale</t>
  </si>
  <si>
    <t>dD of source water hydrogen calculated from the unknown molecule on the VSMOW scale</t>
  </si>
  <si>
    <t>1-sigma uncertainty in dD of source water hydrogen calculated from the unknown molecule on the VSMOW scale</t>
  </si>
  <si>
    <t>2. Calculated values and uncertainties can be viewed and copied from the results columns of the worksheets.</t>
  </si>
  <si>
    <t>5. Do not alter the formulas and values in the cell blocks labeled "RESULTS", "INPUTS w/o per-mil" and "CALCULATIONS".</t>
  </si>
  <si>
    <t>How to use these worksheets:</t>
  </si>
  <si>
    <t>example 1 - C16:0 alkanoic acid as Me ester (phthalic acid derivitized to determine dD of methyl H)</t>
  </si>
  <si>
    <t>example 2 - C30:0 alkanoic acid as Me ester (phthalic acid derivitized to determine dD of methyl H)</t>
  </si>
  <si>
    <t>example 4 - C29:0 alkane (set fwax=1 and dDpa and fpa columns may be left blank)</t>
  </si>
  <si>
    <t>example 3 - C16:0 a,w-alkanedoic acid as diMe ester (phthalic acid derivitized to determine dD of methyl H)</t>
  </si>
  <si>
    <t>mean dDsa, refgas</t>
  </si>
  <si>
    <t>n</t>
  </si>
  <si>
    <t>n replicates</t>
  </si>
  <si>
    <t>1s_unbias dDstd, refgas</t>
  </si>
  <si>
    <t>1s_unbias dDstd, SMOW</t>
  </si>
  <si>
    <t>‰ VSMOW</t>
  </si>
  <si>
    <t>‰</t>
  </si>
  <si>
    <r>
      <t>f</t>
    </r>
    <r>
      <rPr>
        <vertAlign val="subscript"/>
        <sz val="12"/>
        <color rgb="FF3F3F76"/>
        <rFont val="Calibri"/>
        <family val="2"/>
        <scheme val="minor"/>
      </rPr>
      <t>wax</t>
    </r>
    <r>
      <rPr>
        <sz val="12"/>
        <color rgb="FF3F3F76"/>
        <rFont val="Calibri"/>
        <family val="2"/>
        <scheme val="minor"/>
      </rPr>
      <t xml:space="preserve"> (f not from CH3) [0-1]</t>
    </r>
  </si>
  <si>
    <r>
      <t>f</t>
    </r>
    <r>
      <rPr>
        <vertAlign val="subscript"/>
        <sz val="12"/>
        <color rgb="FF3F3F76"/>
        <rFont val="Calibri"/>
        <family val="2"/>
        <scheme val="minor"/>
      </rPr>
      <t>pa</t>
    </r>
    <r>
      <rPr>
        <sz val="12"/>
        <color rgb="FF3F3F76"/>
        <rFont val="Calibri"/>
        <family val="2"/>
        <scheme val="minor"/>
      </rPr>
      <t xml:space="preserve"> (f not from CH3) [0-1]</t>
    </r>
  </si>
  <si>
    <r>
      <rPr>
        <sz val="12"/>
        <color rgb="FF3F3F76"/>
        <rFont val="Symbol"/>
        <family val="1"/>
        <charset val="2"/>
      </rPr>
      <t>e</t>
    </r>
    <r>
      <rPr>
        <vertAlign val="subscript"/>
        <sz val="12"/>
        <color rgb="FF3F3F76"/>
        <rFont val="Calibri"/>
        <family val="2"/>
        <scheme val="minor"/>
      </rPr>
      <t>wax/H2O</t>
    </r>
    <r>
      <rPr>
        <sz val="12"/>
        <color rgb="FF3F3F76"/>
        <rFont val="Calibri"/>
        <family val="2"/>
        <scheme val="minor"/>
      </rPr>
      <t xml:space="preserve"> [‰]</t>
    </r>
  </si>
  <si>
    <t>Molecule</t>
  </si>
  <si>
    <t>1s unbiased dDsa, refgas</t>
  </si>
  <si>
    <t>Standard</t>
  </si>
  <si>
    <t>Compound</t>
  </si>
  <si>
    <t>count</t>
  </si>
  <si>
    <t>w</t>
  </si>
  <si>
    <t>1s s.e.m. dDwax, SMOW</t>
  </si>
  <si>
    <t>nsa</t>
  </si>
  <si>
    <t>1s (s.e.m. or stdev) dDrefgas,SMOW</t>
  </si>
  <si>
    <r>
      <t xml:space="preserve">1 stdev </t>
    </r>
    <r>
      <rPr>
        <sz val="12"/>
        <color rgb="FF3F3F76"/>
        <rFont val="Symbol"/>
        <family val="1"/>
        <charset val="2"/>
      </rPr>
      <t>e</t>
    </r>
    <r>
      <rPr>
        <sz val="12"/>
        <color rgb="FF3F3F76"/>
        <rFont val="Calibri"/>
        <family val="2"/>
        <scheme val="minor"/>
      </rPr>
      <t xml:space="preserve"> wax,H2O</t>
    </r>
  </si>
  <si>
    <t>1stdev data</t>
  </si>
  <si>
    <t>1stdev theoretical</t>
  </si>
  <si>
    <t>SAMPLE ID</t>
  </si>
  <si>
    <t>Average 1stdev dDsa,refgas</t>
  </si>
  <si>
    <t>Wt Average 1stdev dDsa, refgas*</t>
  </si>
  <si>
    <t>mean dDrefgas,VSMOW</t>
  </si>
  <si>
    <t xml:space="preserve">3. Add new rows, if needed, by copying an existing row and pasting it below the existing rows. </t>
  </si>
  <si>
    <t>1stdev dDstd, refgas</t>
  </si>
  <si>
    <t>number of replicate measurements of the reference molecule</t>
  </si>
  <si>
    <t>"known" dD value of the molecular standard on VSMOW scale (determined offline)</t>
  </si>
  <si>
    <t>1stdev dDstd, SMOW</t>
  </si>
  <si>
    <t>1-standard deviation of the "known" dD value of the molecular standard on VSMOW scale (determined offline)</t>
  </si>
  <si>
    <t>number of offline replicate measurements of the reference molecule used to determine "known" dD value</t>
  </si>
  <si>
    <t>mean dD value of the laboratory reference gas on the VSMOW scale determined from reference molecule</t>
  </si>
  <si>
    <t>1 s.e.m. dDrefgas, SMOW</t>
  </si>
  <si>
    <t>1-standard error of the mean dD value of the laboratory reference gas on the VSMOW scale determined from replicate measurements of the reference molecule</t>
  </si>
  <si>
    <t>mean dDrefgas, SMOW*</t>
  </si>
  <si>
    <t>mean of the mean dD values of the reference gas determined from different standard reference molecules on the VSMOW scale</t>
  </si>
  <si>
    <t>1 standard deviation of the means of dD of refgas relative to VSMOW determined by all reference molecules (i.e., 1 standard deviation of all values of dDrefgas,SMOW)</t>
  </si>
  <si>
    <t>"Analytical Uncertainty" sheet, Explanation of Columns:</t>
  </si>
  <si>
    <t>Sample name</t>
  </si>
  <si>
    <t>Molecule name</t>
  </si>
  <si>
    <t>mean dD value of the unknown molecule on the reference gas scale (optional, not used in calculations)</t>
  </si>
  <si>
    <t>1 stdev dDsa,refgas</t>
  </si>
  <si>
    <t>1-standard deviation of the mean dD value of the unknown molecule on the reference gas scale</t>
  </si>
  <si>
    <t>number of replicate measurements of the sample</t>
  </si>
  <si>
    <t>1s unbiased dDsa,refgas</t>
  </si>
  <si>
    <t>pooled standard deviation from all replicate measurement data</t>
  </si>
  <si>
    <t>total number of measurements</t>
  </si>
  <si>
    <t>mean dD value of the unknown molecule on the reference gas scale</t>
  </si>
  <si>
    <t>number of replicate sample measurements</t>
  </si>
  <si>
    <t>1s dDrefgas, SMOW*</t>
  </si>
  <si>
    <t xml:space="preserve">1-sigma uncertainty of the mean dD value of the reference gas on the VSMOW scale. Use 1 standard deviation or 1 standard error of the mean according to the criteria discussed in section X.X of the paper. </t>
  </si>
  <si>
    <t>mean dD of the methylated phthalic acid (dimethyl phthalate) on the reference gas scale</t>
  </si>
  <si>
    <t>1 s.e.m. dDpame, refgas</t>
  </si>
  <si>
    <t>1-standard error of the mean dD of the methylated phthalic acid on the reference gas scale</t>
  </si>
  <si>
    <t>1 s.e.m. dDpa, SMOW</t>
  </si>
  <si>
    <t>1- standard error of the mean dD of the sodium phthalate salt on the SMOW scale</t>
  </si>
  <si>
    <t>1stdev e wax,H2O</t>
  </si>
  <si>
    <t>uncertainty (1 standard deviation) in apparent fractionation between source water and lipid</t>
  </si>
  <si>
    <t>*Output values that are also used as input values</t>
  </si>
  <si>
    <t>1s. w</t>
  </si>
  <si>
    <r>
      <t xml:space="preserve">4. Cutting and pasting cells in the input and results columns will alter the excel references and should not be done.  Instead </t>
    </r>
    <r>
      <rPr>
        <u/>
        <sz val="12"/>
        <color rgb="FF000000"/>
        <rFont val="Times New Roman"/>
        <family val="1"/>
      </rPr>
      <t>copy</t>
    </r>
    <r>
      <rPr>
        <sz val="12"/>
        <color rgb="FF000000"/>
        <rFont val="Times New Roman"/>
        <family val="1"/>
      </rPr>
      <t xml:space="preserve"> and paste the cells and then clear information from the original cells.</t>
    </r>
  </si>
  <si>
    <t>1-standard deviation of the dD values of the molecular standard measured against laboratory reference gas</t>
  </si>
  <si>
    <t>mean of dD values of the molecular standard measured against laboratory reference gas</t>
  </si>
  <si>
    <t>weight (n-1)</t>
  </si>
  <si>
    <t>1s.*weight</t>
  </si>
  <si>
    <t>1s stdev dDsa, refgas</t>
  </si>
  <si>
    <t>sample-size corrected unbiased estimator of the 1-standard deviation of the mean dD value of the unknown molecule on the reference gas scale</t>
  </si>
  <si>
    <t xml:space="preserve">weighting factor used to calculate the weighted mean </t>
  </si>
  <si>
    <t>1 theoretical standard deviation of the dD of refgas if all reference molecular standards returned identical mean values for dDrefgas,VSMOW (calculated as the mean of the s.e.m values from the individual molecules)</t>
  </si>
  <si>
    <t>unbiased mean * weighting factor (used to calculate the weighted mean)</t>
  </si>
  <si>
    <t>pooled standard deviationfrom all replicate measurement data weighted by number of replicates (n-1)</t>
  </si>
  <si>
    <t>1 s.e.m dDpame, refgas</t>
  </si>
  <si>
    <t>1 s.e.m dDpa, SMOW</t>
  </si>
  <si>
    <t>1s unbias dDsa, refgas</t>
  </si>
  <si>
    <t>1s s.e.m. dDsa, SMOW</t>
  </si>
  <si>
    <t>1s s.e.m. dDpame, SMOW</t>
  </si>
  <si>
    <t>1s s.e.m. dDMe, SMOW</t>
  </si>
  <si>
    <t>A. The mean, standard deviation and number of measurements of each molecular standard on the reference gas scale and the mean, standard deviation and number of measurements of each molecular standard from offline measurements, reported on the VSMOW scale.</t>
  </si>
  <si>
    <t>Directions</t>
  </si>
  <si>
    <t>B. The mean, standard deviation and number of measurements of each peak in every sample.</t>
  </si>
  <si>
    <t>C. Mean and standard error of the mean for the derivatized molecular standard used to determine the δD of any hydrogen added by derivatization (e.g. phthalic acid methyl ester) on the reference gas scale as well as the mean and standard error of the mean of the underivatized molecular standard from offline measurements, reported on the VSMOW scale.</t>
  </si>
  <si>
    <t>Step 1 - Determine reference gas value and uncertainty</t>
  </si>
  <si>
    <t>Step 2 - Determine sample analytical uncertainty from pooled uncertainty of replicate analyses</t>
  </si>
  <si>
    <t>Step 3 – Determine sample values on the VSMOW scale</t>
  </si>
  <si>
    <r>
      <t>1. On the “</t>
    </r>
    <r>
      <rPr>
        <i/>
        <sz val="12"/>
        <color theme="1"/>
        <rFont val="Times New Roman"/>
        <family val="1"/>
      </rPr>
      <t>Reference Gas”</t>
    </r>
    <r>
      <rPr>
        <sz val="12"/>
        <color theme="1"/>
        <rFont val="Times New Roman"/>
        <family val="1"/>
      </rPr>
      <t xml:space="preserve"> tab, input values for the mean, standard deviation and </t>
    </r>
    <r>
      <rPr>
        <i/>
        <sz val="12"/>
        <color theme="1"/>
        <rFont val="Times New Roman"/>
        <family val="1"/>
      </rPr>
      <t>n</t>
    </r>
    <r>
      <rPr>
        <sz val="12"/>
        <color theme="1"/>
        <rFont val="Times New Roman"/>
        <family val="1"/>
      </rPr>
      <t xml:space="preserve"> for irMS measurement of molecular standards on the refgas scale and offline measurements on the VSMOW scale.</t>
    </r>
  </si>
  <si>
    <r>
      <t xml:space="preserve">2. Use the mean </t>
    </r>
    <r>
      <rPr>
        <i/>
        <sz val="12"/>
        <color theme="1"/>
        <rFont val="Times New Roman"/>
        <family val="1"/>
      </rPr>
      <t>dDrefgas, VSMOW</t>
    </r>
    <r>
      <rPr>
        <sz val="12"/>
        <color theme="1"/>
        <rFont val="Times New Roman"/>
        <family val="1"/>
      </rPr>
      <t xml:space="preserve"> (blue box) for samples.</t>
    </r>
  </si>
  <si>
    <r>
      <t xml:space="preserve">3. Use the larger of the </t>
    </r>
    <r>
      <rPr>
        <i/>
        <sz val="12"/>
        <color theme="1"/>
        <rFont val="Times New Roman"/>
        <family val="1"/>
      </rPr>
      <t>1stddev data</t>
    </r>
    <r>
      <rPr>
        <sz val="12"/>
        <color theme="1"/>
        <rFont val="Times New Roman"/>
        <family val="1"/>
      </rPr>
      <t xml:space="preserve"> or </t>
    </r>
    <r>
      <rPr>
        <i/>
        <sz val="12"/>
        <color theme="1"/>
        <rFont val="Times New Roman"/>
        <family val="1"/>
      </rPr>
      <t>1stdev theoretical</t>
    </r>
    <r>
      <rPr>
        <sz val="12"/>
        <color theme="1"/>
        <rFont val="Times New Roman"/>
        <family val="1"/>
      </rPr>
      <t xml:space="preserve"> value as the uncertainty in the dDrefgas value (see manuscript for details of this choice).</t>
    </r>
  </si>
  <si>
    <r>
      <t>1. On the “</t>
    </r>
    <r>
      <rPr>
        <i/>
        <sz val="12"/>
        <color theme="1"/>
        <rFont val="Times New Roman"/>
        <family val="1"/>
      </rPr>
      <t>Analytical Uncertainty”</t>
    </r>
    <r>
      <rPr>
        <sz val="12"/>
        <color theme="1"/>
        <rFont val="Times New Roman"/>
        <family val="1"/>
      </rPr>
      <t xml:space="preserve"> tab, input values for the standard deviation and </t>
    </r>
    <r>
      <rPr>
        <i/>
        <sz val="12"/>
        <color theme="1"/>
        <rFont val="Times New Roman"/>
        <family val="1"/>
      </rPr>
      <t>n</t>
    </r>
    <r>
      <rPr>
        <sz val="12"/>
        <color theme="1"/>
        <rFont val="Times New Roman"/>
        <family val="1"/>
      </rPr>
      <t xml:space="preserve"> replicates for samples.  Leave the standard deviation cell empty of </t>
    </r>
    <r>
      <rPr>
        <i/>
        <sz val="12"/>
        <color theme="1"/>
        <rFont val="Times New Roman"/>
        <family val="1"/>
      </rPr>
      <t>n</t>
    </r>
    <r>
      <rPr>
        <sz val="12"/>
        <color theme="1"/>
        <rFont val="Times New Roman"/>
        <family val="1"/>
      </rPr>
      <t xml:space="preserve"> equals 1.  The mean dDsa,refgas value is not used in the calculation.</t>
    </r>
  </si>
  <si>
    <r>
      <t>2. Use the “</t>
    </r>
    <r>
      <rPr>
        <i/>
        <sz val="12"/>
        <color theme="1"/>
        <rFont val="Times New Roman"/>
        <family val="1"/>
      </rPr>
      <t>Wt Average 1stdev dDsa, refgas*</t>
    </r>
    <r>
      <rPr>
        <sz val="12"/>
        <color theme="1"/>
        <rFont val="Times New Roman"/>
        <family val="1"/>
      </rPr>
      <t>” value as the analytical uncertainty for sample measurements.</t>
    </r>
  </si>
  <si>
    <r>
      <t>1. On the “</t>
    </r>
    <r>
      <rPr>
        <i/>
        <sz val="12"/>
        <color theme="1"/>
        <rFont val="Times New Roman"/>
        <family val="1"/>
      </rPr>
      <t>Samples”</t>
    </r>
    <r>
      <rPr>
        <sz val="12"/>
        <color theme="1"/>
        <rFont val="Times New Roman"/>
        <family val="1"/>
      </rPr>
      <t xml:space="preserve"> tab, input values for the mean </t>
    </r>
    <r>
      <rPr>
        <sz val="12"/>
        <color theme="1"/>
        <rFont val="Symbol"/>
        <family val="1"/>
        <charset val="2"/>
      </rPr>
      <t>d</t>
    </r>
    <r>
      <rPr>
        <sz val="12"/>
        <color theme="1"/>
        <rFont val="Times New Roman"/>
        <family val="1"/>
      </rPr>
      <t>D value of samples on the reference gas scale and the number of replicates.</t>
    </r>
  </si>
  <si>
    <r>
      <t>2. Use the pooled standard deviation determined in step 2 for the “</t>
    </r>
    <r>
      <rPr>
        <i/>
        <sz val="12"/>
        <color theme="1"/>
        <rFont val="Times New Roman"/>
        <family val="1"/>
      </rPr>
      <t>1s mean dDsa, refgas</t>
    </r>
    <r>
      <rPr>
        <sz val="12"/>
        <color theme="1"/>
        <rFont val="Times New Roman"/>
        <family val="1"/>
      </rPr>
      <t>”.</t>
    </r>
  </si>
  <si>
    <t>3. Input the mean and s.e.m. of the derivatized molecular standard (pame, phthalic acid methyl ester) on the refgas scale and the mean and s.e.m. of the underivatized molecular standard (pa, phthalic acid) on the VSMOW scale.  Leave these cells empty if the samples are not derivatized (e.g. alkane).</t>
  </si>
  <si>
    <r>
      <t xml:space="preserve">4. Calculate </t>
    </r>
    <r>
      <rPr>
        <i/>
        <sz val="12"/>
        <color theme="1"/>
        <rFont val="Times New Roman"/>
        <family val="1"/>
      </rPr>
      <t>f</t>
    </r>
    <r>
      <rPr>
        <i/>
        <vertAlign val="subscript"/>
        <sz val="12"/>
        <color theme="1"/>
        <rFont val="Times New Roman"/>
        <family val="1"/>
      </rPr>
      <t>wax</t>
    </r>
    <r>
      <rPr>
        <sz val="12"/>
        <color theme="1"/>
        <rFont val="Times New Roman"/>
        <family val="1"/>
      </rPr>
      <t xml:space="preserve">, the mole fraction of hydrogen in the molecule analyzed by GC-irMS that is </t>
    </r>
    <r>
      <rPr>
        <u/>
        <sz val="12"/>
        <color theme="1"/>
        <rFont val="Times New Roman"/>
        <family val="1"/>
      </rPr>
      <t>not</t>
    </r>
    <r>
      <rPr>
        <sz val="12"/>
        <color theme="1"/>
        <rFont val="Times New Roman"/>
        <family val="1"/>
      </rPr>
      <t xml:space="preserve"> from the derivatizing agent.</t>
    </r>
  </si>
  <si>
    <r>
      <t xml:space="preserve">5. Calculate </t>
    </r>
    <r>
      <rPr>
        <i/>
        <sz val="12"/>
        <color theme="1"/>
        <rFont val="Times New Roman"/>
        <family val="1"/>
      </rPr>
      <t>f</t>
    </r>
    <r>
      <rPr>
        <i/>
        <vertAlign val="subscript"/>
        <sz val="12"/>
        <color theme="1"/>
        <rFont val="Times New Roman"/>
        <family val="1"/>
      </rPr>
      <t>pa</t>
    </r>
    <r>
      <rPr>
        <sz val="12"/>
        <color theme="1"/>
        <rFont val="Times New Roman"/>
        <family val="1"/>
      </rPr>
      <t>, the fraction of the derivatized molecular standard not from the derivatizing agent.  Set this value to 1.0 if the sample molecule is not derivatized.</t>
    </r>
  </si>
  <si>
    <r>
      <t xml:space="preserve">6. If desired, input an apparent fractionation value and the standard deviation to calculate a water </t>
    </r>
    <r>
      <rPr>
        <sz val="12"/>
        <color theme="1"/>
        <rFont val="Symbol"/>
        <family val="1"/>
        <charset val="2"/>
      </rPr>
      <t>d</t>
    </r>
    <r>
      <rPr>
        <sz val="12"/>
        <color theme="1"/>
        <rFont val="Times New Roman"/>
        <family val="1"/>
      </rPr>
      <t>D value.</t>
    </r>
  </si>
  <si>
    <r>
      <t xml:space="preserve">7. The </t>
    </r>
    <r>
      <rPr>
        <i/>
        <sz val="12"/>
        <color theme="1"/>
        <rFont val="Times New Roman"/>
        <family val="1"/>
      </rPr>
      <t>dDwax, SMOW</t>
    </r>
    <r>
      <rPr>
        <sz val="12"/>
        <color theme="1"/>
        <rFont val="Times New Roman"/>
        <family val="1"/>
      </rPr>
      <t xml:space="preserve"> and </t>
    </r>
    <r>
      <rPr>
        <i/>
        <sz val="12"/>
        <color theme="1"/>
        <rFont val="Times New Roman"/>
        <family val="1"/>
      </rPr>
      <t>1s s.e.m. dDwax, SMOW</t>
    </r>
    <r>
      <rPr>
        <sz val="12"/>
        <color theme="1"/>
        <rFont val="Times New Roman"/>
        <family val="1"/>
      </rPr>
      <t xml:space="preserve"> are the sample values that should be reported.</t>
    </r>
  </si>
  <si>
    <r>
      <t xml:space="preserve">8. The </t>
    </r>
    <r>
      <rPr>
        <i/>
        <sz val="12"/>
        <color theme="1"/>
        <rFont val="Times New Roman"/>
        <family val="1"/>
      </rPr>
      <t>dD water, SMOW</t>
    </r>
    <r>
      <rPr>
        <sz val="12"/>
        <color theme="1"/>
        <rFont val="Times New Roman"/>
        <family val="1"/>
      </rPr>
      <t xml:space="preserve"> and </t>
    </r>
    <r>
      <rPr>
        <i/>
        <sz val="12"/>
        <color theme="1"/>
        <rFont val="Times New Roman"/>
        <family val="1"/>
      </rPr>
      <t>1s dD water, SMOW</t>
    </r>
    <r>
      <rPr>
        <sz val="12"/>
        <color theme="1"/>
        <rFont val="Times New Roman"/>
        <family val="1"/>
      </rPr>
      <t xml:space="preserve"> are the water </t>
    </r>
    <r>
      <rPr>
        <sz val="12"/>
        <color theme="1"/>
        <rFont val="Symbol"/>
        <family val="1"/>
        <charset val="2"/>
      </rPr>
      <t>d</t>
    </r>
    <r>
      <rPr>
        <sz val="12"/>
        <color theme="1"/>
        <rFont val="Times New Roman"/>
        <family val="1"/>
      </rPr>
      <t>D values and uncertainty that should be reported.</t>
    </r>
  </si>
  <si>
    <t>1. Enter measured and known values and their appropriate 1-sigma uncertainties in the input columns of the "Reference Gas", "Analytical Uncertainty", and "Samples" sheets.  All values in the input and results columns are in per-mil units although calculations are done without the per-mil multiplier.</t>
  </si>
  <si>
    <t>6. Calculations are shown for an example dataset of actual analyses (example 5) as well as illustrative examples of different types of molecules (examples 1-4)</t>
  </si>
  <si>
    <t>CASE 1 OR 2</t>
  </si>
  <si>
    <t>nC14:0 FAME</t>
  </si>
  <si>
    <t>nC14:0 FAEE</t>
  </si>
  <si>
    <t>nC16:0 FAME</t>
  </si>
  <si>
    <t>nC16:0 FAEE</t>
  </si>
  <si>
    <t>nC18:0 FAME</t>
  </si>
  <si>
    <t>nC18:0 FAEE</t>
  </si>
  <si>
    <t>nC20:0 FAME</t>
  </si>
  <si>
    <t>nC20:0 FAEE</t>
  </si>
  <si>
    <t>alkane nC16</t>
  </si>
  <si>
    <t>alkane nC17</t>
  </si>
  <si>
    <t>alkane nC18</t>
  </si>
  <si>
    <t>alkane nC19</t>
  </si>
  <si>
    <t>alkane nC20</t>
  </si>
  <si>
    <t>alkane nC21</t>
  </si>
  <si>
    <t>alkane nC22</t>
  </si>
  <si>
    <t>alkane nC23</t>
  </si>
  <si>
    <t>alkane nC24</t>
  </si>
  <si>
    <t>alkane nC25</t>
  </si>
  <si>
    <t>alkane nC26</t>
  </si>
  <si>
    <t>alkane nC27</t>
  </si>
  <si>
    <t>alkane nC28</t>
  </si>
  <si>
    <t>alkane nC29</t>
  </si>
  <si>
    <t>alkane nC30</t>
  </si>
  <si>
    <t>Molecular standards of known isotopic composition measured against laboratory reference gas</t>
  </si>
  <si>
    <t>Example 5 - F8</t>
  </si>
  <si>
    <t>Example 5 - Mix A</t>
  </si>
  <si>
    <t>Refgas uncertainty (1s)</t>
  </si>
  <si>
    <t xml:space="preserve">FA n30:0 </t>
  </si>
  <si>
    <t>weight (n&gt;1)</t>
  </si>
  <si>
    <t>example 5 - Example dataset of nC32 alkanoic acid (as FAMEs):</t>
  </si>
  <si>
    <r>
      <t xml:space="preserve">Copy and paste </t>
    </r>
    <r>
      <rPr>
        <b/>
        <sz val="12"/>
        <color theme="1"/>
        <rFont val="Calibri"/>
        <family val="2"/>
        <scheme val="minor"/>
      </rPr>
      <t>v</t>
    </r>
    <r>
      <rPr>
        <b/>
        <i/>
        <sz val="12"/>
        <color theme="1"/>
        <rFont val="Calibri"/>
        <family val="2"/>
        <scheme val="minor"/>
      </rPr>
      <t>alues</t>
    </r>
    <r>
      <rPr>
        <sz val="12"/>
        <color theme="1"/>
        <rFont val="Calibri"/>
        <family val="2"/>
        <scheme val="minor"/>
      </rPr>
      <t xml:space="preserve"> to Columns A-D of Tab 3 ("3-Calculate Sample dD &amp; Uncert")</t>
    </r>
  </si>
  <si>
    <t>Before starting, collate and calculate:</t>
  </si>
  <si>
    <t>This spreadsheet allows the user to calculate and propagate errors involved in dD analysis of molecular compounds and estimation of source water dD. Refer to the original paper for the derivation of equations used in this worksheet and for discussions of the appropriate error statistics to use for different aspects of uncertainty quantification.  Detailed "how to" and explanations are available in EA-2.</t>
  </si>
  <si>
    <r>
      <t>Please cite this spreadsheet if you use it: Polissar P. J. and D'Andrea W. J. (2014) Uncertainty in paleohydrologic reconstructions from molecular δ</t>
    </r>
    <r>
      <rPr>
        <i/>
        <sz val="12"/>
        <color rgb="FF000000"/>
        <rFont val="Times New Roman"/>
        <family val="1"/>
      </rPr>
      <t>D</t>
    </r>
    <r>
      <rPr>
        <sz val="12"/>
        <color rgb="FF000000"/>
        <rFont val="Times New Roman"/>
        <family val="1"/>
      </rPr>
      <t xml:space="preserve"> values. </t>
    </r>
    <r>
      <rPr>
        <i/>
        <sz val="12"/>
        <color rgb="FF000000"/>
        <rFont val="Times New Roman"/>
        <family val="1"/>
      </rPr>
      <t xml:space="preserve">Geochim. Cosmochim. Acta </t>
    </r>
    <r>
      <rPr>
        <b/>
        <sz val="12"/>
        <color rgb="FF000000"/>
        <rFont val="Times New Roman"/>
        <family val="1"/>
      </rPr>
      <t>129</t>
    </r>
    <r>
      <rPr>
        <sz val="12"/>
        <color rgb="FF000000"/>
        <rFont val="Times New Roman"/>
        <family val="1"/>
      </rPr>
      <t>, 146–156.</t>
    </r>
  </si>
</sst>
</file>

<file path=xl/styles.xml><?xml version="1.0" encoding="utf-8"?>
<styleSheet xmlns="http://schemas.openxmlformats.org/spreadsheetml/2006/main">
  <numFmts count="2">
    <numFmt numFmtId="164" formatCode="0.0"/>
    <numFmt numFmtId="165" formatCode="0.000"/>
  </numFmts>
  <fonts count="35">
    <font>
      <sz val="12"/>
      <color theme="1"/>
      <name val="Calibri"/>
      <family val="2"/>
      <scheme val="minor"/>
    </font>
    <font>
      <sz val="12"/>
      <color rgb="FF3F3F76"/>
      <name val="Calibri"/>
      <family val="2"/>
      <scheme val="minor"/>
    </font>
    <font>
      <b/>
      <sz val="12"/>
      <color rgb="FFFA7D00"/>
      <name val="Calibri"/>
      <family val="2"/>
      <scheme val="minor"/>
    </font>
    <font>
      <u/>
      <sz val="12"/>
      <color theme="10"/>
      <name val="Calibri"/>
      <family val="2"/>
      <scheme val="minor"/>
    </font>
    <font>
      <u/>
      <sz val="12"/>
      <color theme="11"/>
      <name val="Calibri"/>
      <family val="2"/>
      <scheme val="minor"/>
    </font>
    <font>
      <sz val="12"/>
      <color theme="1"/>
      <name val="Times New Roman"/>
      <family val="1"/>
    </font>
    <font>
      <sz val="12"/>
      <color rgb="FF000000"/>
      <name val="Times New Roman"/>
      <family val="1"/>
    </font>
    <font>
      <u/>
      <sz val="12"/>
      <color rgb="FF000000"/>
      <name val="Times New Roman"/>
      <family val="1"/>
    </font>
    <font>
      <b/>
      <u/>
      <sz val="12"/>
      <color rgb="FF000000"/>
      <name val="Times New Roman"/>
      <family val="1"/>
    </font>
    <font>
      <b/>
      <i/>
      <sz val="12"/>
      <color rgb="FF000000"/>
      <name val="Times New Roman"/>
      <family val="1"/>
    </font>
    <font>
      <sz val="12"/>
      <name val="Calibri"/>
      <family val="2"/>
      <scheme val="minor"/>
    </font>
    <font>
      <sz val="12"/>
      <color rgb="FFFF0000"/>
      <name val="Calibri"/>
      <family val="2"/>
      <scheme val="minor"/>
    </font>
    <font>
      <b/>
      <sz val="12"/>
      <color theme="1"/>
      <name val="Calibri"/>
      <family val="2"/>
      <scheme val="minor"/>
    </font>
    <font>
      <sz val="12"/>
      <color rgb="FF3F3F76"/>
      <name val="Symbol"/>
      <family val="1"/>
      <charset val="2"/>
    </font>
    <font>
      <vertAlign val="subscript"/>
      <sz val="12"/>
      <color rgb="FF3F3F76"/>
      <name val="Calibri"/>
      <family val="2"/>
      <scheme val="minor"/>
    </font>
    <font>
      <sz val="12"/>
      <color indexed="8"/>
      <name val="Calibri"/>
      <family val="2"/>
    </font>
    <font>
      <i/>
      <sz val="12"/>
      <color theme="1"/>
      <name val="Calibri"/>
      <family val="2"/>
      <scheme val="minor"/>
    </font>
    <font>
      <b/>
      <sz val="12"/>
      <name val="Times New Roman"/>
      <family val="1"/>
    </font>
    <font>
      <b/>
      <sz val="12"/>
      <color rgb="FF000000"/>
      <name val="Times New Roman"/>
      <family val="1"/>
    </font>
    <font>
      <b/>
      <i/>
      <sz val="12"/>
      <color theme="1"/>
      <name val="Times New Roman"/>
      <family val="1"/>
    </font>
    <font>
      <i/>
      <sz val="12"/>
      <color theme="1"/>
      <name val="Times New Roman"/>
      <family val="1"/>
    </font>
    <font>
      <sz val="12"/>
      <color theme="1"/>
      <name val="Symbol"/>
      <family val="1"/>
      <charset val="2"/>
    </font>
    <font>
      <i/>
      <vertAlign val="subscript"/>
      <sz val="12"/>
      <color theme="1"/>
      <name val="Times New Roman"/>
      <family val="1"/>
    </font>
    <font>
      <u/>
      <sz val="12"/>
      <color theme="1"/>
      <name val="Times New Roman"/>
      <family val="1"/>
    </font>
    <font>
      <b/>
      <sz val="12"/>
      <name val="Calibri"/>
      <family val="2"/>
      <scheme val="minor"/>
    </font>
    <font>
      <b/>
      <sz val="12"/>
      <color theme="9" tint="-0.499984740745262"/>
      <name val="Calibri"/>
      <family val="2"/>
      <scheme val="minor"/>
    </font>
    <font>
      <sz val="12"/>
      <color theme="9" tint="-0.499984740745262"/>
      <name val="Calibri"/>
      <family val="2"/>
      <scheme val="minor"/>
    </font>
    <font>
      <b/>
      <sz val="12"/>
      <color rgb="FF3F3F76"/>
      <name val="Calibri"/>
      <family val="2"/>
      <scheme val="minor"/>
    </font>
    <font>
      <b/>
      <sz val="12"/>
      <color theme="3"/>
      <name val="Calibri"/>
      <family val="2"/>
      <scheme val="minor"/>
    </font>
    <font>
      <b/>
      <sz val="12"/>
      <color theme="1"/>
      <name val="Calibri"/>
      <family val="2"/>
    </font>
    <font>
      <sz val="12"/>
      <color theme="9" tint="-0.499984740745262"/>
      <name val="Calibri"/>
      <family val="2"/>
    </font>
    <font>
      <sz val="12"/>
      <color theme="1"/>
      <name val="Calibri"/>
      <family val="2"/>
    </font>
    <font>
      <b/>
      <i/>
      <sz val="12"/>
      <color theme="1"/>
      <name val="Calibri"/>
      <family val="2"/>
      <scheme val="minor"/>
    </font>
    <font>
      <i/>
      <sz val="12"/>
      <color rgb="FF000000"/>
      <name val="Times New Roman"/>
      <family val="1"/>
    </font>
    <font>
      <sz val="12"/>
      <color rgb="FF000000"/>
      <name val="Times New Roman"/>
      <family val="1"/>
    </font>
  </fonts>
  <fills count="14">
    <fill>
      <patternFill patternType="none"/>
    </fill>
    <fill>
      <patternFill patternType="gray125"/>
    </fill>
    <fill>
      <patternFill patternType="solid">
        <fgColor rgb="FFFFCC99"/>
      </patternFill>
    </fill>
    <fill>
      <patternFill patternType="solid">
        <fgColor rgb="FFF2F2F2"/>
      </patternFill>
    </fill>
    <fill>
      <patternFill patternType="solid">
        <fgColor rgb="FFFF0000"/>
        <bgColor indexed="64"/>
      </patternFill>
    </fill>
    <fill>
      <patternFill patternType="solid">
        <fgColor rgb="FFF2F2F2"/>
        <bgColor rgb="FF000000"/>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tint="-4.9989318521683403E-2"/>
        <bgColor indexed="65"/>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s>
  <borders count="50">
    <border>
      <left/>
      <right/>
      <top/>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rgb="FF7F7F7F"/>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auto="1"/>
      </bottom>
      <diagonal/>
    </border>
    <border>
      <left style="thin">
        <color auto="1"/>
      </left>
      <right/>
      <top style="thin">
        <color rgb="FF7F7F7F"/>
      </top>
      <bottom style="thin">
        <color rgb="FF7F7F7F"/>
      </bottom>
      <diagonal/>
    </border>
    <border>
      <left style="thin">
        <color auto="1"/>
      </left>
      <right style="thin">
        <color rgb="FF7F7F7F"/>
      </right>
      <top style="thin">
        <color rgb="FF7F7F7F"/>
      </top>
      <bottom style="thin">
        <color rgb="FF7F7F7F"/>
      </bottom>
      <diagonal/>
    </border>
    <border>
      <left/>
      <right style="thin">
        <color auto="1"/>
      </right>
      <top style="thin">
        <color rgb="FF7F7F7F"/>
      </top>
      <bottom style="thin">
        <color rgb="FF7F7F7F"/>
      </bottom>
      <diagonal/>
    </border>
    <border>
      <left style="thin">
        <color rgb="FF7F7F7F"/>
      </left>
      <right style="thin">
        <color auto="1"/>
      </right>
      <top style="thin">
        <color rgb="FF7F7F7F"/>
      </top>
      <bottom style="thin">
        <color rgb="FF7F7F7F"/>
      </bottom>
      <diagonal/>
    </border>
    <border>
      <left style="thin">
        <color auto="1"/>
      </left>
      <right/>
      <top/>
      <bottom style="thin">
        <color rgb="FF7F7F7F"/>
      </bottom>
      <diagonal/>
    </border>
    <border>
      <left/>
      <right style="thin">
        <color auto="1"/>
      </right>
      <top/>
      <bottom style="thin">
        <color rgb="FF7F7F7F"/>
      </bottom>
      <diagonal/>
    </border>
    <border>
      <left/>
      <right style="thin">
        <color auto="1"/>
      </right>
      <top/>
      <bottom style="medium">
        <color auto="1"/>
      </bottom>
      <diagonal/>
    </border>
    <border>
      <left style="thin">
        <color auto="1"/>
      </left>
      <right/>
      <top/>
      <bottom style="medium">
        <color auto="1"/>
      </bottom>
      <diagonal/>
    </border>
    <border>
      <left style="thin">
        <color rgb="FF7F7F7F"/>
      </left>
      <right style="thin">
        <color rgb="FF7F7F7F"/>
      </right>
      <top style="thin">
        <color rgb="FF7F7F7F"/>
      </top>
      <bottom style="thin">
        <color auto="1"/>
      </bottom>
      <diagonal/>
    </border>
    <border>
      <left style="thin">
        <color auto="1"/>
      </left>
      <right style="thin">
        <color rgb="FF7F7F7F"/>
      </right>
      <top style="thin">
        <color rgb="FF7F7F7F"/>
      </top>
      <bottom style="thin">
        <color auto="1"/>
      </bottom>
      <diagonal/>
    </border>
    <border>
      <left style="thin">
        <color rgb="FF7F7F7F"/>
      </left>
      <right style="thin">
        <color auto="1"/>
      </right>
      <top style="thin">
        <color rgb="FF7F7F7F"/>
      </top>
      <bottom style="thin">
        <color auto="1"/>
      </bottom>
      <diagonal/>
    </border>
    <border>
      <left style="thin">
        <color auto="1"/>
      </left>
      <right/>
      <top style="thin">
        <color auto="1"/>
      </top>
      <bottom style="thin">
        <color rgb="FF7F7F7F"/>
      </bottom>
      <diagonal/>
    </border>
    <border>
      <left/>
      <right style="thin">
        <color auto="1"/>
      </right>
      <top style="thin">
        <color auto="1"/>
      </top>
      <bottom style="thin">
        <color rgb="FF7F7F7F"/>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s>
  <cellStyleXfs count="1440">
    <xf numFmtId="0" fontId="0" fillId="0" borderId="0"/>
    <xf numFmtId="0" fontId="1" fillId="2" borderId="1" applyNumberFormat="0" applyAlignment="0" applyProtection="0"/>
    <xf numFmtId="0" fontId="2" fillId="3"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5"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19">
    <xf numFmtId="0" fontId="0" fillId="0" borderId="0" xfId="0"/>
    <xf numFmtId="0" fontId="0" fillId="0" borderId="0" xfId="0" applyAlignment="1">
      <alignment horizontal="center" wrapText="1"/>
    </xf>
    <xf numFmtId="0" fontId="1" fillId="2" borderId="1" xfId="1" applyAlignment="1">
      <alignment horizontal="center" wrapText="1"/>
    </xf>
    <xf numFmtId="0" fontId="0" fillId="0" borderId="0" xfId="0" applyProtection="1"/>
    <xf numFmtId="0" fontId="0" fillId="0" borderId="0" xfId="0" applyAlignment="1" applyProtection="1">
      <alignment horizontal="center" wrapText="1"/>
    </xf>
    <xf numFmtId="0" fontId="5" fillId="0" borderId="0" xfId="0" applyFont="1" applyProtection="1"/>
    <xf numFmtId="0" fontId="1" fillId="2" borderId="1" xfId="1" applyAlignment="1" applyProtection="1">
      <alignment horizontal="center" wrapText="1"/>
    </xf>
    <xf numFmtId="0" fontId="0" fillId="0" borderId="0" xfId="0" applyFont="1" applyProtection="1"/>
    <xf numFmtId="0" fontId="0" fillId="0" borderId="0" xfId="0"/>
    <xf numFmtId="0" fontId="0" fillId="0" borderId="0" xfId="0" applyAlignment="1">
      <alignment wrapText="1"/>
    </xf>
    <xf numFmtId="0" fontId="0" fillId="4" borderId="0" xfId="0" applyFill="1"/>
    <xf numFmtId="0" fontId="1" fillId="6" borderId="1" xfId="1" applyFill="1" applyAlignment="1">
      <alignment horizontal="center" wrapText="1"/>
    </xf>
    <xf numFmtId="0" fontId="0" fillId="6" borderId="0" xfId="0" applyFill="1"/>
    <xf numFmtId="0" fontId="5" fillId="0" borderId="0" xfId="0" applyFont="1"/>
    <xf numFmtId="0" fontId="5" fillId="0" borderId="0" xfId="0" applyFont="1" applyAlignment="1">
      <alignment horizontal="right"/>
    </xf>
    <xf numFmtId="0" fontId="6" fillId="0" borderId="0" xfId="0" applyFont="1" applyAlignment="1">
      <alignment horizontal="right"/>
    </xf>
    <xf numFmtId="0" fontId="9" fillId="0" borderId="0" xfId="0" applyFont="1" applyAlignment="1">
      <alignment horizontal="right"/>
    </xf>
    <xf numFmtId="0" fontId="10" fillId="0" borderId="0" xfId="0" applyFont="1"/>
    <xf numFmtId="0" fontId="0" fillId="0" borderId="0" xfId="0" applyFill="1" applyBorder="1" applyProtection="1"/>
    <xf numFmtId="0" fontId="0" fillId="0" borderId="0" xfId="0" quotePrefix="1"/>
    <xf numFmtId="0" fontId="0" fillId="0" borderId="0" xfId="0" applyAlignment="1">
      <alignment horizontal="center"/>
    </xf>
    <xf numFmtId="0" fontId="0" fillId="0" borderId="0" xfId="0" applyAlignment="1" applyProtection="1">
      <alignment horizontal="center"/>
    </xf>
    <xf numFmtId="0" fontId="15" fillId="0" borderId="0" xfId="983" applyAlignment="1">
      <alignment horizontal="center"/>
    </xf>
    <xf numFmtId="0" fontId="15" fillId="0" borderId="0" xfId="983"/>
    <xf numFmtId="0" fontId="15" fillId="0" borderId="0" xfId="983" applyProtection="1"/>
    <xf numFmtId="0" fontId="15" fillId="0" borderId="0" xfId="983" applyAlignment="1" applyProtection="1">
      <alignment horizontal="center"/>
    </xf>
    <xf numFmtId="0" fontId="16" fillId="0" borderId="0" xfId="0" applyFont="1" applyAlignment="1" applyProtection="1">
      <alignment horizontal="center"/>
    </xf>
    <xf numFmtId="0" fontId="0" fillId="0" borderId="0" xfId="0" applyAlignment="1" applyProtection="1">
      <alignment wrapText="1"/>
    </xf>
    <xf numFmtId="0" fontId="5" fillId="0" borderId="0" xfId="0" applyFont="1" applyAlignment="1">
      <alignment horizontal="right" wrapText="1"/>
    </xf>
    <xf numFmtId="0" fontId="5" fillId="0" borderId="0" xfId="0" applyFont="1" applyAlignment="1">
      <alignment horizontal="left"/>
    </xf>
    <xf numFmtId="0" fontId="8" fillId="0" borderId="0" xfId="0" applyFont="1" applyAlignment="1">
      <alignment horizontal="left"/>
    </xf>
    <xf numFmtId="0" fontId="5" fillId="0" borderId="0" xfId="0" applyFont="1" applyAlignment="1">
      <alignment wrapText="1"/>
    </xf>
    <xf numFmtId="0" fontId="0" fillId="0" borderId="25" xfId="0" applyBorder="1"/>
    <xf numFmtId="0" fontId="0" fillId="6" borderId="25" xfId="0" applyFill="1" applyBorder="1"/>
    <xf numFmtId="0" fontId="0" fillId="0" borderId="22" xfId="0" applyBorder="1" applyProtection="1"/>
    <xf numFmtId="0" fontId="1" fillId="2" borderId="29" xfId="1" applyBorder="1" applyAlignment="1" applyProtection="1">
      <alignment horizontal="center" wrapText="1"/>
    </xf>
    <xf numFmtId="0" fontId="0" fillId="4" borderId="21" xfId="0" applyFill="1" applyBorder="1"/>
    <xf numFmtId="0" fontId="1" fillId="6" borderId="27" xfId="1" applyFill="1" applyBorder="1" applyAlignment="1">
      <alignment horizontal="center" wrapText="1"/>
    </xf>
    <xf numFmtId="0" fontId="0" fillId="6" borderId="21" xfId="0" applyFill="1" applyBorder="1"/>
    <xf numFmtId="0" fontId="0" fillId="0" borderId="21" xfId="0" applyBorder="1"/>
    <xf numFmtId="0" fontId="0" fillId="4" borderId="22" xfId="0" applyFill="1" applyBorder="1"/>
    <xf numFmtId="0" fontId="1" fillId="6" borderId="29" xfId="1" applyFill="1" applyBorder="1" applyAlignment="1">
      <alignment horizontal="center" wrapText="1"/>
    </xf>
    <xf numFmtId="0" fontId="0" fillId="6" borderId="22" xfId="0" applyFill="1" applyBorder="1"/>
    <xf numFmtId="0" fontId="0" fillId="0" borderId="22" xfId="0" applyBorder="1"/>
    <xf numFmtId="164" fontId="12" fillId="7" borderId="21" xfId="0" applyNumberFormat="1" applyFont="1" applyFill="1" applyBorder="1" applyAlignment="1" applyProtection="1">
      <alignment horizontal="center"/>
    </xf>
    <xf numFmtId="164" fontId="12" fillId="7" borderId="22" xfId="0" applyNumberFormat="1" applyFont="1" applyFill="1" applyBorder="1" applyAlignment="1" applyProtection="1">
      <alignment horizontal="center"/>
    </xf>
    <xf numFmtId="164" fontId="12" fillId="7" borderId="0" xfId="0" applyNumberFormat="1" applyFont="1" applyFill="1" applyBorder="1" applyAlignment="1" applyProtection="1">
      <alignment horizontal="center"/>
    </xf>
    <xf numFmtId="164" fontId="0" fillId="8" borderId="21" xfId="0" applyNumberFormat="1" applyFill="1" applyBorder="1" applyAlignment="1" applyProtection="1">
      <alignment horizontal="center"/>
    </xf>
    <xf numFmtId="164" fontId="0" fillId="8" borderId="0" xfId="0" applyNumberFormat="1" applyFill="1" applyAlignment="1" applyProtection="1">
      <alignment horizontal="center"/>
    </xf>
    <xf numFmtId="0" fontId="0" fillId="11" borderId="25" xfId="0" applyFill="1" applyBorder="1" applyAlignment="1" applyProtection="1">
      <alignment wrapText="1"/>
    </xf>
    <xf numFmtId="0" fontId="0" fillId="11" borderId="25" xfId="0" applyFill="1" applyBorder="1"/>
    <xf numFmtId="0" fontId="11" fillId="11" borderId="25" xfId="0" applyFont="1" applyFill="1" applyBorder="1"/>
    <xf numFmtId="0" fontId="0" fillId="11" borderId="0" xfId="0" applyFill="1"/>
    <xf numFmtId="0" fontId="11" fillId="11" borderId="0" xfId="0" applyFont="1" applyFill="1"/>
    <xf numFmtId="0" fontId="0" fillId="0" borderId="17" xfId="0" applyBorder="1" applyAlignment="1">
      <alignment horizontal="center" wrapText="1"/>
    </xf>
    <xf numFmtId="0" fontId="0" fillId="0" borderId="21" xfId="0" applyBorder="1" applyProtection="1"/>
    <xf numFmtId="0" fontId="0" fillId="0" borderId="0" xfId="0" applyBorder="1" applyProtection="1"/>
    <xf numFmtId="0" fontId="1" fillId="2" borderId="35" xfId="1" applyBorder="1" applyAlignment="1">
      <alignment horizontal="center" wrapText="1"/>
    </xf>
    <xf numFmtId="0" fontId="11" fillId="11" borderId="21" xfId="0" applyFont="1" applyFill="1" applyBorder="1"/>
    <xf numFmtId="0" fontId="11" fillId="11" borderId="33" xfId="0" applyFont="1" applyFill="1" applyBorder="1"/>
    <xf numFmtId="0" fontId="15" fillId="0" borderId="21" xfId="983" applyBorder="1" applyProtection="1"/>
    <xf numFmtId="0" fontId="1" fillId="2" borderId="36" xfId="1" applyBorder="1" applyAlignment="1">
      <alignment horizontal="center" wrapText="1"/>
    </xf>
    <xf numFmtId="0" fontId="0" fillId="11" borderId="22" xfId="0" applyFill="1" applyBorder="1"/>
    <xf numFmtId="0" fontId="0" fillId="11" borderId="32" xfId="0" applyFill="1" applyBorder="1"/>
    <xf numFmtId="0" fontId="15" fillId="0" borderId="22" xfId="983" applyBorder="1" applyProtection="1"/>
    <xf numFmtId="0" fontId="26" fillId="0" borderId="0" xfId="0" applyFont="1" applyAlignment="1">
      <alignment wrapText="1"/>
    </xf>
    <xf numFmtId="0" fontId="26" fillId="6" borderId="21" xfId="0" applyFont="1" applyFill="1" applyBorder="1" applyAlignment="1">
      <alignment wrapText="1"/>
    </xf>
    <xf numFmtId="0" fontId="25" fillId="0" borderId="0" xfId="0" applyFont="1"/>
    <xf numFmtId="0" fontId="26" fillId="6" borderId="27" xfId="2" applyFont="1" applyFill="1" applyBorder="1" applyAlignment="1">
      <alignment horizontal="center" wrapText="1"/>
    </xf>
    <xf numFmtId="0" fontId="26" fillId="6" borderId="1" xfId="2" applyFont="1" applyFill="1" applyAlignment="1">
      <alignment horizontal="center" wrapText="1"/>
    </xf>
    <xf numFmtId="0" fontId="26" fillId="6" borderId="29" xfId="2" applyFont="1" applyFill="1" applyBorder="1" applyAlignment="1">
      <alignment horizontal="center" wrapText="1"/>
    </xf>
    <xf numFmtId="164" fontId="0" fillId="4" borderId="21" xfId="0" applyNumberFormat="1" applyFill="1" applyBorder="1" applyAlignment="1" applyProtection="1">
      <alignment horizontal="left"/>
    </xf>
    <xf numFmtId="164" fontId="0" fillId="4" borderId="0" xfId="0" applyNumberFormat="1" applyFill="1" applyAlignment="1" applyProtection="1">
      <alignment horizontal="center"/>
    </xf>
    <xf numFmtId="164" fontId="12" fillId="4" borderId="21" xfId="0" applyNumberFormat="1" applyFont="1" applyFill="1" applyBorder="1" applyAlignment="1" applyProtection="1">
      <alignment horizontal="center"/>
    </xf>
    <xf numFmtId="164" fontId="12" fillId="4" borderId="22" xfId="0" applyNumberFormat="1" applyFont="1" applyFill="1" applyBorder="1" applyAlignment="1" applyProtection="1">
      <alignment horizontal="center"/>
    </xf>
    <xf numFmtId="164" fontId="12" fillId="4" borderId="0" xfId="0" applyNumberFormat="1" applyFont="1" applyFill="1" applyBorder="1" applyAlignment="1" applyProtection="1">
      <alignment horizontal="center"/>
    </xf>
    <xf numFmtId="164" fontId="26" fillId="8" borderId="27" xfId="2" applyNumberFormat="1" applyFont="1" applyFill="1" applyBorder="1" applyAlignment="1" applyProtection="1">
      <alignment horizontal="center" wrapText="1"/>
    </xf>
    <xf numFmtId="164" fontId="26" fillId="8" borderId="1" xfId="2" applyNumberFormat="1" applyFont="1" applyFill="1" applyAlignment="1" applyProtection="1">
      <alignment horizontal="center" wrapText="1"/>
    </xf>
    <xf numFmtId="164" fontId="26" fillId="8" borderId="4" xfId="2" applyNumberFormat="1" applyFont="1" applyFill="1" applyBorder="1" applyAlignment="1" applyProtection="1">
      <alignment horizontal="center" wrapText="1"/>
    </xf>
    <xf numFmtId="164" fontId="24" fillId="7" borderId="27" xfId="2" applyNumberFormat="1" applyFont="1" applyFill="1" applyBorder="1" applyAlignment="1" applyProtection="1">
      <alignment horizontal="center" wrapText="1"/>
    </xf>
    <xf numFmtId="164" fontId="24" fillId="7" borderId="29" xfId="2" applyNumberFormat="1" applyFont="1" applyFill="1" applyBorder="1" applyAlignment="1" applyProtection="1">
      <alignment horizontal="center" wrapText="1"/>
    </xf>
    <xf numFmtId="164" fontId="24" fillId="7" borderId="6" xfId="2" applyNumberFormat="1" applyFont="1" applyFill="1" applyBorder="1" applyAlignment="1" applyProtection="1">
      <alignment horizontal="center" wrapText="1"/>
    </xf>
    <xf numFmtId="0" fontId="29" fillId="7" borderId="12" xfId="0" applyFont="1" applyFill="1" applyBorder="1"/>
    <xf numFmtId="0" fontId="29" fillId="8" borderId="15" xfId="0" applyFont="1" applyFill="1" applyBorder="1"/>
    <xf numFmtId="0" fontId="31" fillId="0" borderId="17" xfId="0" applyFont="1" applyBorder="1" applyAlignment="1">
      <alignment horizontal="right" wrapText="1"/>
    </xf>
    <xf numFmtId="164" fontId="0" fillId="4" borderId="22" xfId="0" applyNumberFormat="1" applyFill="1" applyBorder="1" applyAlignment="1" applyProtection="1">
      <alignment horizontal="center"/>
    </xf>
    <xf numFmtId="164" fontId="25" fillId="3" borderId="27" xfId="2" applyNumberFormat="1" applyFont="1" applyBorder="1" applyAlignment="1">
      <alignment horizontal="center" wrapText="1"/>
    </xf>
    <xf numFmtId="164" fontId="25" fillId="3" borderId="29" xfId="2" applyNumberFormat="1" applyFont="1" applyBorder="1" applyAlignment="1">
      <alignment horizontal="center" wrapText="1"/>
    </xf>
    <xf numFmtId="164" fontId="0" fillId="11" borderId="21" xfId="0" applyNumberFormat="1" applyFill="1" applyBorder="1" applyAlignment="1">
      <alignment horizontal="center"/>
    </xf>
    <xf numFmtId="164" fontId="0" fillId="11" borderId="33" xfId="0" applyNumberFormat="1" applyFill="1" applyBorder="1" applyAlignment="1">
      <alignment horizontal="center"/>
    </xf>
    <xf numFmtId="164" fontId="0" fillId="11" borderId="32" xfId="0" applyNumberFormat="1" applyFill="1" applyBorder="1" applyAlignment="1">
      <alignment horizontal="center"/>
    </xf>
    <xf numFmtId="164" fontId="0" fillId="8" borderId="39" xfId="0" applyNumberFormat="1" applyFill="1" applyBorder="1" applyAlignment="1">
      <alignment horizontal="center"/>
    </xf>
    <xf numFmtId="164" fontId="0" fillId="8" borderId="40" xfId="0" applyNumberFormat="1" applyFill="1" applyBorder="1" applyAlignment="1">
      <alignment horizontal="center"/>
    </xf>
    <xf numFmtId="164" fontId="0" fillId="0" borderId="21" xfId="0" applyNumberFormat="1" applyBorder="1" applyAlignment="1">
      <alignment horizontal="center"/>
    </xf>
    <xf numFmtId="164" fontId="0" fillId="0" borderId="22" xfId="0" applyNumberFormat="1" applyBorder="1" applyAlignment="1">
      <alignment horizontal="center"/>
    </xf>
    <xf numFmtId="0" fontId="31" fillId="8" borderId="10" xfId="0" applyFont="1" applyFill="1" applyBorder="1"/>
    <xf numFmtId="164" fontId="31" fillId="8" borderId="9" xfId="0" applyNumberFormat="1" applyFont="1" applyFill="1" applyBorder="1" applyAlignment="1">
      <alignment horizontal="center"/>
    </xf>
    <xf numFmtId="164" fontId="29" fillId="7" borderId="3" xfId="0" applyNumberFormat="1" applyFont="1" applyFill="1" applyBorder="1" applyAlignment="1">
      <alignment horizontal="center"/>
    </xf>
    <xf numFmtId="1" fontId="31" fillId="8" borderId="14" xfId="0" applyNumberFormat="1" applyFont="1" applyFill="1" applyBorder="1" applyAlignment="1">
      <alignment horizontal="center"/>
    </xf>
    <xf numFmtId="0" fontId="30" fillId="8" borderId="8" xfId="0" applyFont="1" applyFill="1" applyBorder="1" applyAlignment="1">
      <alignment horizontal="center" wrapText="1"/>
    </xf>
    <xf numFmtId="0" fontId="29" fillId="7" borderId="11" xfId="0" applyFont="1" applyFill="1" applyBorder="1" applyAlignment="1">
      <alignment horizontal="center" wrapText="1"/>
    </xf>
    <xf numFmtId="0" fontId="30" fillId="8" borderId="13" xfId="0" applyFont="1" applyFill="1" applyBorder="1" applyAlignment="1">
      <alignment horizontal="center"/>
    </xf>
    <xf numFmtId="164" fontId="26" fillId="10" borderId="35" xfId="2" applyNumberFormat="1" applyFont="1" applyFill="1" applyBorder="1" applyAlignment="1">
      <alignment horizontal="center" wrapText="1"/>
    </xf>
    <xf numFmtId="164" fontId="26" fillId="10" borderId="36" xfId="2" applyNumberFormat="1" applyFont="1" applyFill="1" applyBorder="1" applyAlignment="1">
      <alignment horizontal="center" wrapText="1"/>
    </xf>
    <xf numFmtId="0" fontId="26" fillId="10" borderId="34" xfId="2" applyNumberFormat="1" applyFont="1" applyFill="1" applyBorder="1" applyAlignment="1">
      <alignment horizontal="center" wrapText="1"/>
    </xf>
    <xf numFmtId="164" fontId="0" fillId="11" borderId="0" xfId="0" applyNumberFormat="1" applyFill="1" applyBorder="1" applyAlignment="1">
      <alignment horizontal="center"/>
    </xf>
    <xf numFmtId="164" fontId="0" fillId="8" borderId="21" xfId="0" applyNumberFormat="1" applyFill="1" applyBorder="1" applyAlignment="1">
      <alignment horizontal="center"/>
    </xf>
    <xf numFmtId="164" fontId="0" fillId="8" borderId="22" xfId="0" applyNumberFormat="1" applyFill="1" applyBorder="1" applyAlignment="1">
      <alignment horizontal="center"/>
    </xf>
    <xf numFmtId="0" fontId="0" fillId="4" borderId="21" xfId="0" applyFill="1" applyBorder="1" applyProtection="1"/>
    <xf numFmtId="0" fontId="0" fillId="4" borderId="0" xfId="0" applyFill="1" applyBorder="1" applyProtection="1"/>
    <xf numFmtId="0" fontId="1" fillId="6" borderId="1" xfId="1" applyFill="1" applyBorder="1" applyAlignment="1">
      <alignment horizontal="center" wrapText="1"/>
    </xf>
    <xf numFmtId="0" fontId="0" fillId="6" borderId="0" xfId="0" applyFill="1" applyBorder="1"/>
    <xf numFmtId="0" fontId="0" fillId="6" borderId="33" xfId="0" applyFill="1" applyBorder="1"/>
    <xf numFmtId="0" fontId="0" fillId="0" borderId="0" xfId="0" applyBorder="1"/>
    <xf numFmtId="0" fontId="0" fillId="4" borderId="22" xfId="0" applyFill="1" applyBorder="1" applyProtection="1"/>
    <xf numFmtId="0" fontId="0" fillId="6" borderId="32" xfId="0" applyFill="1" applyBorder="1"/>
    <xf numFmtId="0" fontId="25" fillId="6" borderId="27" xfId="2" applyFont="1" applyFill="1" applyBorder="1" applyAlignment="1">
      <alignment horizontal="center" wrapText="1"/>
    </xf>
    <xf numFmtId="0" fontId="25" fillId="6" borderId="29" xfId="2" applyFont="1" applyFill="1" applyBorder="1" applyAlignment="1">
      <alignment horizontal="center" wrapText="1"/>
    </xf>
    <xf numFmtId="0" fontId="0" fillId="11" borderId="0" xfId="0" applyFont="1" applyFill="1"/>
    <xf numFmtId="164" fontId="0" fillId="11" borderId="21" xfId="0" applyNumberFormat="1" applyFont="1" applyFill="1" applyBorder="1" applyAlignment="1">
      <alignment horizontal="center"/>
    </xf>
    <xf numFmtId="0" fontId="0" fillId="6" borderId="21" xfId="0" applyFont="1" applyFill="1" applyBorder="1"/>
    <xf numFmtId="0" fontId="0" fillId="6" borderId="0" xfId="0" applyFont="1" applyFill="1" applyBorder="1"/>
    <xf numFmtId="0" fontId="0" fillId="6" borderId="22" xfId="0" applyFont="1" applyFill="1" applyBorder="1"/>
    <xf numFmtId="0" fontId="0" fillId="0" borderId="0" xfId="0" applyFont="1"/>
    <xf numFmtId="164" fontId="0" fillId="11" borderId="0" xfId="0" applyNumberFormat="1" applyFont="1" applyFill="1" applyBorder="1" applyAlignment="1">
      <alignment horizontal="center"/>
    </xf>
    <xf numFmtId="0" fontId="26" fillId="8" borderId="44" xfId="0" applyFont="1" applyFill="1" applyBorder="1"/>
    <xf numFmtId="0" fontId="0" fillId="8" borderId="45" xfId="0" applyFont="1" applyFill="1" applyBorder="1"/>
    <xf numFmtId="164" fontId="0" fillId="8" borderId="0" xfId="0" applyNumberFormat="1" applyFont="1" applyFill="1" applyBorder="1" applyAlignment="1">
      <alignment horizontal="center"/>
    </xf>
    <xf numFmtId="0" fontId="24" fillId="7" borderId="41" xfId="0" applyFont="1" applyFill="1" applyBorder="1"/>
    <xf numFmtId="0" fontId="12" fillId="7" borderId="48" xfId="0" applyFont="1" applyFill="1" applyBorder="1"/>
    <xf numFmtId="165" fontId="12" fillId="7" borderId="19" xfId="0" applyNumberFormat="1" applyFont="1" applyFill="1" applyBorder="1" applyAlignment="1">
      <alignment horizontal="center"/>
    </xf>
    <xf numFmtId="0" fontId="12" fillId="7" borderId="49" xfId="0" applyFont="1" applyFill="1" applyBorder="1"/>
    <xf numFmtId="0" fontId="26" fillId="8" borderId="48" xfId="0" applyFont="1" applyFill="1" applyBorder="1"/>
    <xf numFmtId="164" fontId="0" fillId="8" borderId="19" xfId="0" applyNumberFormat="1" applyFont="1" applyFill="1" applyBorder="1" applyAlignment="1">
      <alignment horizontal="center"/>
    </xf>
    <xf numFmtId="0" fontId="0" fillId="8" borderId="49" xfId="0" applyFont="1" applyFill="1" applyBorder="1"/>
    <xf numFmtId="0" fontId="26" fillId="8" borderId="46" xfId="0" applyFont="1" applyFill="1" applyBorder="1"/>
    <xf numFmtId="165" fontId="0" fillId="8" borderId="25" xfId="0" applyNumberFormat="1" applyFont="1" applyFill="1" applyBorder="1" applyAlignment="1">
      <alignment horizontal="center"/>
    </xf>
    <xf numFmtId="0" fontId="12" fillId="8" borderId="47" xfId="0" applyFont="1" applyFill="1" applyBorder="1"/>
    <xf numFmtId="164" fontId="12" fillId="7" borderId="42" xfId="0" applyNumberFormat="1" applyFont="1" applyFill="1" applyBorder="1" applyAlignment="1">
      <alignment horizontal="center"/>
    </xf>
    <xf numFmtId="0" fontId="12" fillId="7" borderId="43" xfId="0" applyFont="1" applyFill="1" applyBorder="1"/>
    <xf numFmtId="0" fontId="0" fillId="8" borderId="0" xfId="0" applyNumberFormat="1" applyFont="1" applyFill="1" applyBorder="1" applyAlignment="1">
      <alignment horizontal="center"/>
    </xf>
    <xf numFmtId="0" fontId="0" fillId="4" borderId="0" xfId="0" applyNumberFormat="1" applyFont="1" applyFill="1" applyBorder="1" applyAlignment="1" applyProtection="1">
      <alignment horizontal="center"/>
    </xf>
    <xf numFmtId="0" fontId="0" fillId="11" borderId="0" xfId="0" applyNumberFormat="1" applyFont="1" applyFill="1" applyBorder="1" applyAlignment="1">
      <alignment horizontal="center"/>
    </xf>
    <xf numFmtId="0" fontId="0" fillId="11" borderId="25" xfId="0" applyNumberFormat="1" applyFont="1" applyFill="1" applyBorder="1" applyAlignment="1">
      <alignment horizontal="center"/>
    </xf>
    <xf numFmtId="0" fontId="0" fillId="8" borderId="0" xfId="0" applyFont="1" applyFill="1" applyBorder="1" applyAlignment="1">
      <alignment horizontal="center"/>
    </xf>
    <xf numFmtId="0" fontId="0" fillId="12" borderId="0" xfId="0" applyFill="1"/>
    <xf numFmtId="164" fontId="0" fillId="12" borderId="0" xfId="0" applyNumberFormat="1" applyFill="1"/>
    <xf numFmtId="0" fontId="0" fillId="13" borderId="25" xfId="0" applyFont="1" applyFill="1" applyBorder="1"/>
    <xf numFmtId="0" fontId="0" fillId="13" borderId="25" xfId="0" applyFill="1" applyBorder="1"/>
    <xf numFmtId="0" fontId="16" fillId="11" borderId="25" xfId="0" applyFont="1" applyFill="1" applyBorder="1" applyAlignment="1" applyProtection="1">
      <alignment horizontal="center" wrapText="1"/>
    </xf>
    <xf numFmtId="0" fontId="0" fillId="0" borderId="22" xfId="0" applyFill="1" applyBorder="1" applyProtection="1"/>
    <xf numFmtId="0" fontId="0" fillId="0" borderId="0" xfId="0" applyFill="1" applyProtection="1"/>
    <xf numFmtId="1" fontId="0" fillId="8" borderId="21" xfId="0" applyNumberFormat="1" applyFill="1" applyBorder="1" applyAlignment="1" applyProtection="1">
      <alignment horizontal="center"/>
    </xf>
    <xf numFmtId="1" fontId="0" fillId="8" borderId="0" xfId="0" applyNumberFormat="1" applyFill="1" applyAlignment="1" applyProtection="1">
      <alignment horizontal="center"/>
    </xf>
    <xf numFmtId="1" fontId="12" fillId="7" borderId="21" xfId="0" applyNumberFormat="1" applyFont="1" applyFill="1" applyBorder="1" applyAlignment="1" applyProtection="1">
      <alignment horizontal="center"/>
    </xf>
    <xf numFmtId="1" fontId="12" fillId="7" borderId="0" xfId="0" applyNumberFormat="1" applyFont="1" applyFill="1" applyBorder="1" applyAlignment="1" applyProtection="1">
      <alignment horizontal="center"/>
    </xf>
    <xf numFmtId="0" fontId="15" fillId="0" borderId="0" xfId="983" applyFill="1" applyProtection="1"/>
    <xf numFmtId="164" fontId="0" fillId="0" borderId="0" xfId="0" applyNumberFormat="1" applyProtection="1"/>
    <xf numFmtId="164" fontId="0" fillId="0" borderId="0" xfId="0" applyNumberFormat="1"/>
    <xf numFmtId="1" fontId="0" fillId="0" borderId="0" xfId="0" applyNumberFormat="1" applyProtection="1"/>
    <xf numFmtId="0" fontId="18" fillId="0" borderId="21" xfId="0" applyFont="1" applyBorder="1" applyAlignment="1">
      <alignment horizontal="left"/>
    </xf>
    <xf numFmtId="0" fontId="18" fillId="0" borderId="0" xfId="0" applyFont="1" applyBorder="1" applyAlignment="1">
      <alignment horizontal="left"/>
    </xf>
    <xf numFmtId="0" fontId="18" fillId="0" borderId="22" xfId="0" applyFont="1" applyBorder="1" applyAlignment="1">
      <alignment horizontal="left"/>
    </xf>
    <xf numFmtId="0" fontId="6" fillId="0" borderId="21" xfId="0" applyFont="1" applyBorder="1" applyAlignment="1">
      <alignment horizontal="left" wrapText="1"/>
    </xf>
    <xf numFmtId="0" fontId="6" fillId="0" borderId="0" xfId="0" applyFont="1" applyBorder="1" applyAlignment="1">
      <alignment horizontal="left" wrapText="1"/>
    </xf>
    <xf numFmtId="0" fontId="6" fillId="0" borderId="22" xfId="0" applyFont="1" applyBorder="1" applyAlignment="1">
      <alignment horizontal="left" wrapText="1"/>
    </xf>
    <xf numFmtId="0" fontId="18" fillId="0" borderId="18" xfId="0" applyFont="1" applyBorder="1" applyAlignment="1">
      <alignment horizontal="left"/>
    </xf>
    <xf numFmtId="0" fontId="18" fillId="0" borderId="19" xfId="0" applyFont="1" applyBorder="1" applyAlignment="1">
      <alignment horizontal="left"/>
    </xf>
    <xf numFmtId="0" fontId="18" fillId="0" borderId="20" xfId="0" applyFont="1" applyBorder="1" applyAlignment="1">
      <alignment horizontal="left"/>
    </xf>
    <xf numFmtId="0" fontId="6" fillId="0" borderId="0" xfId="0" applyFont="1" applyAlignment="1">
      <alignment horizontal="left" wrapText="1"/>
    </xf>
    <xf numFmtId="0" fontId="6" fillId="0" borderId="0" xfId="0" applyFont="1" applyBorder="1" applyAlignment="1">
      <alignment horizontal="left"/>
    </xf>
    <xf numFmtId="0" fontId="17" fillId="0" borderId="0" xfId="0" applyFont="1" applyBorder="1" applyAlignment="1">
      <alignment horizontal="left" wrapText="1"/>
    </xf>
    <xf numFmtId="0" fontId="5" fillId="0" borderId="23" xfId="0" applyFont="1" applyBorder="1" applyAlignment="1">
      <alignment horizontal="left" vertical="center" wrapText="1"/>
    </xf>
    <xf numFmtId="0" fontId="5" fillId="0" borderId="17" xfId="0" applyFont="1" applyBorder="1" applyAlignment="1">
      <alignment horizontal="left" vertical="center" wrapText="1"/>
    </xf>
    <xf numFmtId="0" fontId="5" fillId="0" borderId="24" xfId="0" applyFont="1" applyBorder="1" applyAlignment="1">
      <alignment horizontal="left" vertical="center" wrapText="1"/>
    </xf>
    <xf numFmtId="0" fontId="19" fillId="0" borderId="21" xfId="0" applyFont="1" applyBorder="1" applyAlignment="1">
      <alignment horizontal="left" vertical="center"/>
    </xf>
    <xf numFmtId="0" fontId="19" fillId="0" borderId="0" xfId="0" applyFont="1" applyBorder="1" applyAlignment="1">
      <alignment horizontal="left" vertical="center"/>
    </xf>
    <xf numFmtId="0" fontId="19" fillId="0" borderId="22" xfId="0" applyFont="1" applyBorder="1" applyAlignment="1">
      <alignment horizontal="left" vertical="center"/>
    </xf>
    <xf numFmtId="0" fontId="8" fillId="0" borderId="2" xfId="0" applyFont="1" applyBorder="1" applyAlignment="1">
      <alignment horizontal="left"/>
    </xf>
    <xf numFmtId="0" fontId="8" fillId="0" borderId="3" xfId="0" applyFont="1" applyBorder="1" applyAlignment="1">
      <alignment horizontal="left"/>
    </xf>
    <xf numFmtId="0" fontId="8" fillId="0" borderId="7" xfId="0" applyFont="1" applyBorder="1" applyAlignment="1">
      <alignment horizontal="left"/>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1" xfId="0" applyFont="1" applyBorder="1" applyAlignment="1">
      <alignment vertical="center" wrapText="1"/>
    </xf>
    <xf numFmtId="0" fontId="5" fillId="0" borderId="0" xfId="0" applyFont="1" applyBorder="1" applyAlignment="1">
      <alignment vertical="center" wrapText="1"/>
    </xf>
    <xf numFmtId="0" fontId="5" fillId="0" borderId="22" xfId="0" applyFont="1" applyBorder="1" applyAlignment="1">
      <alignment vertical="center" wrapText="1"/>
    </xf>
    <xf numFmtId="0" fontId="34" fillId="0" borderId="21" xfId="0" applyFont="1" applyBorder="1" applyAlignment="1">
      <alignment horizontal="left" wrapText="1"/>
    </xf>
    <xf numFmtId="0" fontId="5" fillId="0" borderId="21" xfId="0" applyFont="1" applyBorder="1" applyAlignment="1">
      <alignment wrapText="1"/>
    </xf>
    <xf numFmtId="0" fontId="5" fillId="0" borderId="0" xfId="0" applyFont="1" applyBorder="1" applyAlignment="1">
      <alignment wrapText="1"/>
    </xf>
    <xf numFmtId="0" fontId="5" fillId="0" borderId="22" xfId="0" applyFont="1" applyBorder="1" applyAlignment="1">
      <alignment wrapText="1"/>
    </xf>
    <xf numFmtId="164" fontId="25" fillId="5" borderId="2" xfId="0" applyNumberFormat="1" applyFont="1" applyFill="1" applyBorder="1" applyAlignment="1">
      <alignment horizontal="center"/>
    </xf>
    <xf numFmtId="164" fontId="25" fillId="5" borderId="7" xfId="0" applyNumberFormat="1" applyFont="1" applyFill="1" applyBorder="1" applyAlignment="1">
      <alignment horizontal="center"/>
    </xf>
    <xf numFmtId="0" fontId="1" fillId="2" borderId="4" xfId="1" applyBorder="1" applyAlignment="1" applyProtection="1">
      <alignment horizontal="center"/>
    </xf>
    <xf numFmtId="0" fontId="1" fillId="2" borderId="5" xfId="1" applyBorder="1" applyAlignment="1" applyProtection="1">
      <alignment horizontal="center"/>
    </xf>
    <xf numFmtId="0" fontId="1" fillId="2" borderId="6" xfId="1" applyBorder="1" applyAlignment="1" applyProtection="1">
      <alignment horizontal="center"/>
    </xf>
    <xf numFmtId="0" fontId="0" fillId="6" borderId="2" xfId="0" applyFill="1" applyBorder="1" applyAlignment="1" applyProtection="1">
      <alignment horizontal="center"/>
    </xf>
    <xf numFmtId="0" fontId="0" fillId="6" borderId="3" xfId="0" applyFill="1" applyBorder="1" applyAlignment="1" applyProtection="1">
      <alignment horizontal="center"/>
    </xf>
    <xf numFmtId="0" fontId="0" fillId="6" borderId="7" xfId="0" applyFill="1" applyBorder="1" applyAlignment="1" applyProtection="1">
      <alignment horizontal="center"/>
    </xf>
    <xf numFmtId="0" fontId="26" fillId="6" borderId="2" xfId="0" applyFont="1" applyFill="1" applyBorder="1" applyAlignment="1" applyProtection="1">
      <alignment horizontal="center"/>
    </xf>
    <xf numFmtId="0" fontId="26" fillId="6" borderId="7" xfId="0" applyFont="1" applyFill="1" applyBorder="1" applyAlignment="1" applyProtection="1">
      <alignment horizontal="center"/>
    </xf>
    <xf numFmtId="0" fontId="27" fillId="2" borderId="37" xfId="1" applyFont="1" applyBorder="1" applyAlignment="1" applyProtection="1">
      <alignment horizontal="center"/>
    </xf>
    <xf numFmtId="0" fontId="27" fillId="2" borderId="38" xfId="1" applyFont="1" applyBorder="1" applyAlignment="1" applyProtection="1">
      <alignment horizontal="center"/>
    </xf>
    <xf numFmtId="164" fontId="25" fillId="9" borderId="30" xfId="0" applyNumberFormat="1" applyFont="1" applyFill="1" applyBorder="1" applyAlignment="1">
      <alignment horizontal="center"/>
    </xf>
    <xf numFmtId="164" fontId="25" fillId="9" borderId="16" xfId="0" applyNumberFormat="1" applyFont="1" applyFill="1" applyBorder="1" applyAlignment="1">
      <alignment horizontal="center"/>
    </xf>
    <xf numFmtId="164" fontId="25" fillId="9" borderId="31" xfId="0" applyNumberFormat="1" applyFont="1" applyFill="1" applyBorder="1" applyAlignment="1">
      <alignment horizontal="center"/>
    </xf>
    <xf numFmtId="0" fontId="27" fillId="2" borderId="1" xfId="1" applyFont="1" applyAlignment="1" applyProtection="1">
      <alignment horizontal="center"/>
    </xf>
    <xf numFmtId="0" fontId="25" fillId="6" borderId="2" xfId="0" applyFont="1" applyFill="1" applyBorder="1" applyAlignment="1" applyProtection="1">
      <alignment horizontal="center"/>
    </xf>
    <xf numFmtId="0" fontId="25" fillId="6" borderId="3" xfId="0" applyFont="1" applyFill="1" applyBorder="1" applyAlignment="1" applyProtection="1">
      <alignment horizontal="center"/>
    </xf>
    <xf numFmtId="0" fontId="25" fillId="6" borderId="7" xfId="0" applyFont="1" applyFill="1" applyBorder="1" applyAlignment="1" applyProtection="1">
      <alignment horizontal="center"/>
    </xf>
    <xf numFmtId="0" fontId="28" fillId="6" borderId="2" xfId="0" applyFont="1" applyFill="1" applyBorder="1" applyAlignment="1" applyProtection="1">
      <alignment horizontal="center"/>
    </xf>
    <xf numFmtId="0" fontId="28" fillId="6" borderId="3" xfId="0" applyFont="1" applyFill="1" applyBorder="1" applyAlignment="1" applyProtection="1">
      <alignment horizontal="center"/>
    </xf>
    <xf numFmtId="0" fontId="28" fillId="6" borderId="7" xfId="0" applyFont="1" applyFill="1" applyBorder="1" applyAlignment="1" applyProtection="1">
      <alignment horizontal="center"/>
    </xf>
    <xf numFmtId="164" fontId="25" fillId="3" borderId="26" xfId="2" applyNumberFormat="1" applyFont="1" applyBorder="1" applyAlignment="1" applyProtection="1">
      <alignment horizontal="center"/>
    </xf>
    <xf numFmtId="164" fontId="25" fillId="3" borderId="5" xfId="2" applyNumberFormat="1" applyFont="1" applyBorder="1" applyAlignment="1" applyProtection="1">
      <alignment horizontal="center"/>
    </xf>
    <xf numFmtId="164" fontId="25" fillId="3" borderId="28" xfId="2" applyNumberFormat="1" applyFont="1" applyBorder="1" applyAlignment="1" applyProtection="1">
      <alignment horizontal="center"/>
    </xf>
  </cellXfs>
  <cellStyles count="1440">
    <cellStyle name="Calculation" xfId="2" builtinId="22"/>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Input" xfId="1" builtinId="20"/>
    <cellStyle name="Normal" xfId="0" builtinId="0"/>
    <cellStyle name="Normal_Sample 1s" xfId="983"/>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99"/>
  <sheetViews>
    <sheetView showGridLines="0" tabSelected="1" workbookViewId="0">
      <selection activeCell="A6" sqref="A6:C6"/>
    </sheetView>
  </sheetViews>
  <sheetFormatPr defaultColWidth="10.875" defaultRowHeight="15.75"/>
  <cols>
    <col min="1" max="1" width="25" style="14" customWidth="1"/>
    <col min="2" max="2" width="4.625" style="13" customWidth="1"/>
    <col min="3" max="3" width="100.125" style="13" customWidth="1"/>
    <col min="4" max="16384" width="10.875" style="13"/>
  </cols>
  <sheetData>
    <row r="1" spans="1:3" ht="31.5" customHeight="1">
      <c r="A1" s="164" t="s">
        <v>198</v>
      </c>
      <c r="B1" s="164"/>
      <c r="C1" s="164"/>
    </row>
    <row r="2" spans="1:3">
      <c r="A2" s="170"/>
      <c r="B2" s="170"/>
      <c r="C2" s="170"/>
    </row>
    <row r="3" spans="1:3" ht="45.95" customHeight="1">
      <c r="A3" s="171" t="s">
        <v>197</v>
      </c>
      <c r="B3" s="171"/>
      <c r="C3" s="171"/>
    </row>
    <row r="4" spans="1:3" s="169" customFormat="1" ht="35.1" customHeight="1">
      <c r="A4" s="164"/>
      <c r="B4" s="164"/>
      <c r="C4" s="164"/>
    </row>
    <row r="5" spans="1:3">
      <c r="A5" s="166" t="s">
        <v>58</v>
      </c>
      <c r="B5" s="167"/>
      <c r="C5" s="168"/>
    </row>
    <row r="6" spans="1:3" ht="39.950000000000003" customHeight="1">
      <c r="A6" s="163" t="s">
        <v>162</v>
      </c>
      <c r="B6" s="164"/>
      <c r="C6" s="165"/>
    </row>
    <row r="7" spans="1:3" ht="24.95" customHeight="1">
      <c r="A7" s="163" t="s">
        <v>56</v>
      </c>
      <c r="B7" s="164"/>
      <c r="C7" s="165"/>
    </row>
    <row r="8" spans="1:3" ht="24.95" customHeight="1">
      <c r="A8" s="163" t="s">
        <v>89</v>
      </c>
      <c r="B8" s="164"/>
      <c r="C8" s="165"/>
    </row>
    <row r="9" spans="1:3" ht="39" customHeight="1">
      <c r="A9" s="163" t="s">
        <v>125</v>
      </c>
      <c r="B9" s="164"/>
      <c r="C9" s="165"/>
    </row>
    <row r="10" spans="1:3" ht="24.95" customHeight="1">
      <c r="A10" s="163" t="s">
        <v>57</v>
      </c>
      <c r="B10" s="164"/>
      <c r="C10" s="165"/>
    </row>
    <row r="11" spans="1:3" ht="24.95" customHeight="1">
      <c r="A11" s="163" t="s">
        <v>163</v>
      </c>
      <c r="B11" s="164"/>
      <c r="C11" s="165"/>
    </row>
    <row r="12" spans="1:3">
      <c r="A12" s="160"/>
      <c r="B12" s="161"/>
      <c r="C12" s="162"/>
    </row>
    <row r="13" spans="1:3">
      <c r="A13" s="178" t="s">
        <v>143</v>
      </c>
      <c r="B13" s="179"/>
      <c r="C13" s="180"/>
    </row>
    <row r="14" spans="1:3">
      <c r="A14" s="175" t="s">
        <v>196</v>
      </c>
      <c r="B14" s="176"/>
      <c r="C14" s="177"/>
    </row>
    <row r="15" spans="1:3" ht="39" customHeight="1">
      <c r="A15" s="163" t="s">
        <v>142</v>
      </c>
      <c r="B15" s="164"/>
      <c r="C15" s="165"/>
    </row>
    <row r="16" spans="1:3" ht="24" customHeight="1">
      <c r="A16" s="163" t="s">
        <v>144</v>
      </c>
      <c r="B16" s="164"/>
      <c r="C16" s="165"/>
    </row>
    <row r="17" spans="1:3" ht="56.1" customHeight="1">
      <c r="A17" s="190" t="s">
        <v>145</v>
      </c>
      <c r="B17" s="164"/>
      <c r="C17" s="165"/>
    </row>
    <row r="18" spans="1:3">
      <c r="A18" s="160"/>
      <c r="B18" s="161"/>
      <c r="C18" s="162"/>
    </row>
    <row r="19" spans="1:3">
      <c r="A19" s="181" t="s">
        <v>146</v>
      </c>
      <c r="B19" s="182"/>
      <c r="C19" s="183"/>
    </row>
    <row r="20" spans="1:3" ht="39.950000000000003" customHeight="1">
      <c r="A20" s="191" t="s">
        <v>149</v>
      </c>
      <c r="B20" s="192"/>
      <c r="C20" s="193"/>
    </row>
    <row r="21" spans="1:3" ht="24.95" customHeight="1">
      <c r="A21" s="187" t="s">
        <v>150</v>
      </c>
      <c r="B21" s="188"/>
      <c r="C21" s="189"/>
    </row>
    <row r="22" spans="1:3" ht="24.95" customHeight="1">
      <c r="A22" s="184" t="s">
        <v>151</v>
      </c>
      <c r="B22" s="185"/>
      <c r="C22" s="186"/>
    </row>
    <row r="23" spans="1:3">
      <c r="A23" s="160"/>
      <c r="B23" s="161"/>
      <c r="C23" s="162"/>
    </row>
    <row r="24" spans="1:3">
      <c r="A24" s="181" t="s">
        <v>147</v>
      </c>
      <c r="B24" s="182"/>
      <c r="C24" s="183"/>
    </row>
    <row r="25" spans="1:3" ht="39.950000000000003" customHeight="1">
      <c r="A25" s="187" t="s">
        <v>152</v>
      </c>
      <c r="B25" s="188"/>
      <c r="C25" s="189"/>
    </row>
    <row r="26" spans="1:3" ht="24.95" customHeight="1">
      <c r="A26" s="187" t="s">
        <v>153</v>
      </c>
      <c r="B26" s="188"/>
      <c r="C26" s="189"/>
    </row>
    <row r="27" spans="1:3">
      <c r="A27" s="160"/>
      <c r="B27" s="161"/>
      <c r="C27" s="162"/>
    </row>
    <row r="28" spans="1:3">
      <c r="A28" s="181" t="s">
        <v>148</v>
      </c>
      <c r="B28" s="182"/>
      <c r="C28" s="183"/>
    </row>
    <row r="29" spans="1:3" ht="24.95" customHeight="1">
      <c r="A29" s="184" t="s">
        <v>154</v>
      </c>
      <c r="B29" s="185"/>
      <c r="C29" s="186"/>
    </row>
    <row r="30" spans="1:3" ht="24.95" customHeight="1">
      <c r="A30" s="184" t="s">
        <v>155</v>
      </c>
      <c r="B30" s="185"/>
      <c r="C30" s="186"/>
    </row>
    <row r="31" spans="1:3" ht="39.950000000000003" customHeight="1">
      <c r="A31" s="184" t="s">
        <v>156</v>
      </c>
      <c r="B31" s="185"/>
      <c r="C31" s="186"/>
    </row>
    <row r="32" spans="1:3" ht="24.95" customHeight="1">
      <c r="A32" s="184" t="s">
        <v>157</v>
      </c>
      <c r="B32" s="185"/>
      <c r="C32" s="186"/>
    </row>
    <row r="33" spans="1:3" ht="24.95" customHeight="1">
      <c r="A33" s="184" t="s">
        <v>158</v>
      </c>
      <c r="B33" s="185"/>
      <c r="C33" s="186"/>
    </row>
    <row r="34" spans="1:3" ht="24.95" customHeight="1">
      <c r="A34" s="184" t="s">
        <v>159</v>
      </c>
      <c r="B34" s="185"/>
      <c r="C34" s="186"/>
    </row>
    <row r="35" spans="1:3" ht="24.95" customHeight="1">
      <c r="A35" s="184" t="s">
        <v>160</v>
      </c>
      <c r="B35" s="185"/>
      <c r="C35" s="186"/>
    </row>
    <row r="36" spans="1:3" ht="24.95" customHeight="1">
      <c r="A36" s="172" t="s">
        <v>161</v>
      </c>
      <c r="B36" s="173"/>
      <c r="C36" s="174"/>
    </row>
    <row r="38" spans="1:3">
      <c r="A38" s="30" t="s">
        <v>38</v>
      </c>
    </row>
    <row r="39" spans="1:3">
      <c r="A39" s="16" t="s">
        <v>30</v>
      </c>
    </row>
    <row r="40" spans="1:3">
      <c r="A40" s="15" t="s">
        <v>16</v>
      </c>
      <c r="C40" s="13" t="s">
        <v>127</v>
      </c>
    </row>
    <row r="41" spans="1:3">
      <c r="A41" s="15" t="s">
        <v>90</v>
      </c>
      <c r="C41" s="13" t="s">
        <v>126</v>
      </c>
    </row>
    <row r="42" spans="1:3">
      <c r="A42" s="15" t="s">
        <v>64</v>
      </c>
      <c r="C42" s="13" t="s">
        <v>91</v>
      </c>
    </row>
    <row r="43" spans="1:3">
      <c r="A43" s="15" t="s">
        <v>17</v>
      </c>
      <c r="C43" s="13" t="s">
        <v>92</v>
      </c>
    </row>
    <row r="44" spans="1:3">
      <c r="A44" s="15" t="s">
        <v>93</v>
      </c>
      <c r="C44" s="13" t="s">
        <v>94</v>
      </c>
    </row>
    <row r="45" spans="1:3">
      <c r="A45" s="15" t="s">
        <v>64</v>
      </c>
      <c r="C45" s="13" t="s">
        <v>95</v>
      </c>
    </row>
    <row r="46" spans="1:3">
      <c r="A46" s="15"/>
    </row>
    <row r="47" spans="1:3">
      <c r="A47" s="16" t="s">
        <v>37</v>
      </c>
    </row>
    <row r="48" spans="1:3">
      <c r="A48" s="15" t="s">
        <v>6</v>
      </c>
      <c r="C48" s="13" t="s">
        <v>96</v>
      </c>
    </row>
    <row r="49" spans="1:3">
      <c r="A49" s="15" t="s">
        <v>97</v>
      </c>
      <c r="C49" s="13" t="s">
        <v>98</v>
      </c>
    </row>
    <row r="50" spans="1:3">
      <c r="A50" s="14" t="s">
        <v>99</v>
      </c>
      <c r="C50" s="13" t="s">
        <v>100</v>
      </c>
    </row>
    <row r="51" spans="1:3" ht="31.5">
      <c r="A51" s="15" t="s">
        <v>83</v>
      </c>
      <c r="C51" s="31" t="s">
        <v>101</v>
      </c>
    </row>
    <row r="52" spans="1:3" ht="31.5">
      <c r="A52" s="15" t="s">
        <v>84</v>
      </c>
      <c r="C52" s="31" t="s">
        <v>133</v>
      </c>
    </row>
    <row r="54" spans="1:3">
      <c r="A54" s="30" t="s">
        <v>102</v>
      </c>
    </row>
    <row r="55" spans="1:3">
      <c r="A55" s="16" t="s">
        <v>30</v>
      </c>
    </row>
    <row r="56" spans="1:3">
      <c r="A56" s="14" t="s">
        <v>0</v>
      </c>
      <c r="C56" s="13" t="s">
        <v>103</v>
      </c>
    </row>
    <row r="57" spans="1:3">
      <c r="A57" s="14" t="s">
        <v>73</v>
      </c>
      <c r="C57" s="13" t="s">
        <v>104</v>
      </c>
    </row>
    <row r="58" spans="1:3">
      <c r="A58" s="14" t="s">
        <v>63</v>
      </c>
      <c r="C58" s="13" t="s">
        <v>105</v>
      </c>
    </row>
    <row r="59" spans="1:3">
      <c r="A59" s="14" t="s">
        <v>106</v>
      </c>
      <c r="C59" s="13" t="s">
        <v>107</v>
      </c>
    </row>
    <row r="60" spans="1:3">
      <c r="A60" s="14" t="s">
        <v>64</v>
      </c>
      <c r="C60" s="13" t="s">
        <v>108</v>
      </c>
    </row>
    <row r="62" spans="1:3">
      <c r="A62" s="16" t="s">
        <v>37</v>
      </c>
    </row>
    <row r="63" spans="1:3">
      <c r="A63" s="15" t="s">
        <v>109</v>
      </c>
      <c r="C63" s="13" t="s">
        <v>131</v>
      </c>
    </row>
    <row r="64" spans="1:3">
      <c r="A64" s="15" t="s">
        <v>78</v>
      </c>
      <c r="C64" s="13" t="s">
        <v>132</v>
      </c>
    </row>
    <row r="65" spans="1:3">
      <c r="A65" s="15" t="s">
        <v>124</v>
      </c>
      <c r="C65" s="13" t="s">
        <v>134</v>
      </c>
    </row>
    <row r="66" spans="1:3">
      <c r="A66" s="14" t="s">
        <v>86</v>
      </c>
      <c r="C66" s="13" t="s">
        <v>110</v>
      </c>
    </row>
    <row r="67" spans="1:3" ht="31.5">
      <c r="A67" s="28" t="s">
        <v>87</v>
      </c>
      <c r="C67" s="13" t="s">
        <v>135</v>
      </c>
    </row>
    <row r="68" spans="1:3">
      <c r="A68" s="14" t="s">
        <v>77</v>
      </c>
      <c r="C68" s="13" t="s">
        <v>111</v>
      </c>
    </row>
    <row r="70" spans="1:3">
      <c r="A70" s="30" t="s">
        <v>36</v>
      </c>
    </row>
    <row r="71" spans="1:3">
      <c r="A71" s="16" t="s">
        <v>30</v>
      </c>
    </row>
    <row r="72" spans="1:3">
      <c r="A72" s="14" t="s">
        <v>0</v>
      </c>
      <c r="C72" s="13" t="s">
        <v>41</v>
      </c>
    </row>
    <row r="73" spans="1:3">
      <c r="A73" s="14" t="s">
        <v>63</v>
      </c>
      <c r="C73" s="13" t="s">
        <v>112</v>
      </c>
    </row>
    <row r="74" spans="1:3" ht="31.5">
      <c r="A74" s="28" t="s">
        <v>87</v>
      </c>
      <c r="C74" s="13" t="s">
        <v>107</v>
      </c>
    </row>
    <row r="75" spans="1:3">
      <c r="A75" s="14" t="s">
        <v>80</v>
      </c>
      <c r="C75" s="13" t="s">
        <v>113</v>
      </c>
    </row>
    <row r="76" spans="1:3">
      <c r="A76" s="14" t="s">
        <v>99</v>
      </c>
      <c r="C76" s="13" t="s">
        <v>100</v>
      </c>
    </row>
    <row r="77" spans="1:3">
      <c r="A77" s="14" t="s">
        <v>114</v>
      </c>
      <c r="C77" s="13" t="s">
        <v>115</v>
      </c>
    </row>
    <row r="78" spans="1:3">
      <c r="A78" s="14" t="s">
        <v>7</v>
      </c>
      <c r="C78" s="13" t="s">
        <v>116</v>
      </c>
    </row>
    <row r="79" spans="1:3">
      <c r="A79" s="14" t="s">
        <v>117</v>
      </c>
      <c r="C79" s="13" t="s">
        <v>118</v>
      </c>
    </row>
    <row r="80" spans="1:3">
      <c r="A80" s="14" t="s">
        <v>8</v>
      </c>
      <c r="C80" s="13" t="s">
        <v>42</v>
      </c>
    </row>
    <row r="81" spans="1:3">
      <c r="A81" s="14" t="s">
        <v>119</v>
      </c>
      <c r="C81" s="13" t="s">
        <v>120</v>
      </c>
    </row>
    <row r="82" spans="1:3">
      <c r="A82" s="14" t="s">
        <v>1</v>
      </c>
      <c r="C82" s="13" t="s">
        <v>43</v>
      </c>
    </row>
    <row r="83" spans="1:3">
      <c r="A83" s="14" t="s">
        <v>2</v>
      </c>
      <c r="C83" s="13" t="s">
        <v>44</v>
      </c>
    </row>
    <row r="84" spans="1:3">
      <c r="A84" s="14" t="s">
        <v>26</v>
      </c>
      <c r="C84" s="13" t="s">
        <v>45</v>
      </c>
    </row>
    <row r="85" spans="1:3">
      <c r="A85" s="14" t="s">
        <v>121</v>
      </c>
      <c r="C85" s="13" t="s">
        <v>122</v>
      </c>
    </row>
    <row r="87" spans="1:3">
      <c r="A87" s="16" t="s">
        <v>37</v>
      </c>
    </row>
    <row r="88" spans="1:3">
      <c r="A88" s="14" t="s">
        <v>9</v>
      </c>
      <c r="C88" s="13" t="s">
        <v>46</v>
      </c>
    </row>
    <row r="89" spans="1:3">
      <c r="A89" s="14" t="s">
        <v>23</v>
      </c>
      <c r="C89" s="13" t="s">
        <v>47</v>
      </c>
    </row>
    <row r="90" spans="1:3">
      <c r="A90" s="14" t="s">
        <v>10</v>
      </c>
      <c r="C90" s="13" t="s">
        <v>48</v>
      </c>
    </row>
    <row r="91" spans="1:3">
      <c r="A91" s="14" t="s">
        <v>24</v>
      </c>
      <c r="C91" s="13" t="s">
        <v>49</v>
      </c>
    </row>
    <row r="92" spans="1:3">
      <c r="A92" s="14" t="s">
        <v>11</v>
      </c>
      <c r="C92" s="13" t="s">
        <v>50</v>
      </c>
    </row>
    <row r="93" spans="1:3">
      <c r="A93" s="14" t="s">
        <v>25</v>
      </c>
      <c r="C93" s="13" t="s">
        <v>51</v>
      </c>
    </row>
    <row r="94" spans="1:3">
      <c r="A94" s="14" t="s">
        <v>4</v>
      </c>
      <c r="C94" s="13" t="s">
        <v>52</v>
      </c>
    </row>
    <row r="95" spans="1:3">
      <c r="A95" s="14" t="s">
        <v>22</v>
      </c>
      <c r="C95" s="13" t="s">
        <v>53</v>
      </c>
    </row>
    <row r="96" spans="1:3">
      <c r="A96" s="14" t="s">
        <v>28</v>
      </c>
      <c r="C96" s="13" t="s">
        <v>54</v>
      </c>
    </row>
    <row r="97" spans="1:3">
      <c r="A97" s="14" t="s">
        <v>29</v>
      </c>
      <c r="C97" s="13" t="s">
        <v>55</v>
      </c>
    </row>
    <row r="99" spans="1:3">
      <c r="A99" s="29" t="s">
        <v>123</v>
      </c>
    </row>
  </sheetData>
  <mergeCells count="36">
    <mergeCell ref="A25:C25"/>
    <mergeCell ref="A26:C26"/>
    <mergeCell ref="A29:C29"/>
    <mergeCell ref="A30:C30"/>
    <mergeCell ref="A15:C15"/>
    <mergeCell ref="A16:C16"/>
    <mergeCell ref="A17:C17"/>
    <mergeCell ref="A20:C20"/>
    <mergeCell ref="A21:C21"/>
    <mergeCell ref="A1:C1"/>
    <mergeCell ref="A36:C36"/>
    <mergeCell ref="A14:C14"/>
    <mergeCell ref="A13:C13"/>
    <mergeCell ref="A18:C18"/>
    <mergeCell ref="A19:C19"/>
    <mergeCell ref="A23:C23"/>
    <mergeCell ref="A24:C24"/>
    <mergeCell ref="A27:C27"/>
    <mergeCell ref="A28:C28"/>
    <mergeCell ref="A31:C31"/>
    <mergeCell ref="A32:C32"/>
    <mergeCell ref="A33:C33"/>
    <mergeCell ref="A34:C34"/>
    <mergeCell ref="A35:C35"/>
    <mergeCell ref="A22:C22"/>
    <mergeCell ref="A12:C12"/>
    <mergeCell ref="A11:C11"/>
    <mergeCell ref="A5:C5"/>
    <mergeCell ref="A4:XFD4"/>
    <mergeCell ref="A2:C2"/>
    <mergeCell ref="A3:C3"/>
    <mergeCell ref="A9:C9"/>
    <mergeCell ref="A10:C10"/>
    <mergeCell ref="A6:C6"/>
    <mergeCell ref="A7:C7"/>
    <mergeCell ref="A8:C8"/>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AC36"/>
  <sheetViews>
    <sheetView workbookViewId="0">
      <pane xSplit="2" ySplit="3" topLeftCell="C4" activePane="bottomRight" state="frozenSplit"/>
      <selection pane="topRight" activeCell="B1" sqref="B1"/>
      <selection pane="bottomLeft" activeCell="A4" sqref="A4"/>
      <selection pane="bottomRight" activeCell="C34" sqref="C34"/>
    </sheetView>
  </sheetViews>
  <sheetFormatPr defaultColWidth="11" defaultRowHeight="15.75"/>
  <cols>
    <col min="1" max="1" width="24.125" style="8" customWidth="1"/>
    <col min="2" max="2" width="14.375" customWidth="1"/>
    <col min="4" max="4" width="9.375" customWidth="1"/>
    <col min="5" max="5" width="9.625" style="8" customWidth="1"/>
    <col min="7" max="7" width="9.375" style="8" customWidth="1"/>
    <col min="8" max="8" width="9.625" customWidth="1"/>
    <col min="9" max="9" width="3.375" style="8" customWidth="1"/>
    <col min="10" max="10" width="10.875" style="93"/>
    <col min="11" max="11" width="10.875" style="94"/>
    <col min="12" max="12" width="23.375" style="8" customWidth="1"/>
    <col min="13" max="13" width="8.875" style="8" customWidth="1"/>
    <col min="14" max="14" width="10.625" style="8" customWidth="1"/>
    <col min="15" max="15" width="8.875" style="8" customWidth="1"/>
    <col min="16" max="16" width="10.875" style="39"/>
    <col min="17" max="20" width="10.875" style="113"/>
    <col min="21" max="21" width="10.875" style="43"/>
    <col min="22" max="22" width="3.375" style="8" customWidth="1"/>
    <col min="23" max="23" width="10.875" style="39"/>
    <col min="24" max="24" width="10.875" style="43"/>
  </cols>
  <sheetData>
    <row r="1" spans="1:25" s="3" customFormat="1">
      <c r="A1" s="5"/>
      <c r="B1" s="5"/>
      <c r="I1" s="8"/>
      <c r="J1" s="71" t="s">
        <v>35</v>
      </c>
      <c r="K1" s="85"/>
      <c r="L1" s="8"/>
      <c r="M1" s="8"/>
      <c r="N1" s="8"/>
      <c r="O1" s="8"/>
      <c r="P1" s="108" t="s">
        <v>35</v>
      </c>
      <c r="Q1" s="109"/>
      <c r="R1" s="109"/>
      <c r="S1" s="109"/>
      <c r="T1" s="109"/>
      <c r="U1" s="114"/>
      <c r="V1" s="8"/>
      <c r="W1" s="108" t="s">
        <v>35</v>
      </c>
      <c r="X1" s="114"/>
    </row>
    <row r="2" spans="1:25" s="3" customFormat="1">
      <c r="C2" s="196" t="s">
        <v>30</v>
      </c>
      <c r="D2" s="197"/>
      <c r="E2" s="197"/>
      <c r="F2" s="197"/>
      <c r="G2" s="197"/>
      <c r="H2" s="198"/>
      <c r="I2" s="8"/>
      <c r="J2" s="194" t="s">
        <v>31</v>
      </c>
      <c r="K2" s="195"/>
      <c r="L2" s="8"/>
      <c r="M2" s="8"/>
      <c r="N2" s="8"/>
      <c r="O2" s="8"/>
      <c r="P2" s="199" t="s">
        <v>34</v>
      </c>
      <c r="Q2" s="200"/>
      <c r="R2" s="200"/>
      <c r="S2" s="200"/>
      <c r="T2" s="200"/>
      <c r="U2" s="201"/>
      <c r="V2" s="8"/>
      <c r="W2" s="202" t="s">
        <v>32</v>
      </c>
      <c r="X2" s="203"/>
    </row>
    <row r="3" spans="1:25" s="1" customFormat="1" ht="48" thickBot="1">
      <c r="A3" s="1" t="s">
        <v>75</v>
      </c>
      <c r="B3" s="1" t="s">
        <v>76</v>
      </c>
      <c r="C3" s="2" t="s">
        <v>16</v>
      </c>
      <c r="D3" s="2" t="str">
        <f>"1stdev "&amp;C3</f>
        <v>1stdev dDstd, refgas</v>
      </c>
      <c r="E3" s="2" t="s">
        <v>65</v>
      </c>
      <c r="F3" s="2" t="s">
        <v>17</v>
      </c>
      <c r="G3" s="2" t="str">
        <f>"1stdev "&amp;F3</f>
        <v>1stdev dDstd, SMOW</v>
      </c>
      <c r="H3" s="2" t="s">
        <v>65</v>
      </c>
      <c r="I3" s="9"/>
      <c r="J3" s="86" t="s">
        <v>6</v>
      </c>
      <c r="K3" s="87" t="str">
        <f>"1 s.e.m. "&amp;J3</f>
        <v>1 s.e.m. dDrefgas, SMOW</v>
      </c>
      <c r="L3" s="9"/>
      <c r="M3" s="9"/>
      <c r="N3" s="9"/>
      <c r="O3" s="9"/>
      <c r="P3" s="37" t="s">
        <v>16</v>
      </c>
      <c r="Q3" s="110" t="s">
        <v>39</v>
      </c>
      <c r="R3" s="110" t="s">
        <v>66</v>
      </c>
      <c r="S3" s="110" t="s">
        <v>17</v>
      </c>
      <c r="T3" s="110" t="s">
        <v>40</v>
      </c>
      <c r="U3" s="41" t="s">
        <v>67</v>
      </c>
      <c r="V3" s="9"/>
      <c r="W3" s="116" t="s">
        <v>6</v>
      </c>
      <c r="X3" s="117" t="str">
        <f>"1s "&amp;W3</f>
        <v>1s dDrefgas, SMOW</v>
      </c>
    </row>
    <row r="4" spans="1:25">
      <c r="A4" s="52"/>
      <c r="B4" s="52"/>
      <c r="C4" s="53"/>
      <c r="D4" s="52"/>
      <c r="E4" s="52"/>
      <c r="F4" s="53"/>
      <c r="G4" s="52"/>
      <c r="H4" s="52"/>
      <c r="I4" s="52"/>
      <c r="J4" s="88"/>
      <c r="K4" s="105"/>
      <c r="L4" s="128" t="s">
        <v>88</v>
      </c>
      <c r="M4" s="138">
        <f>AVERAGE(J:J)</f>
        <v>-203.74384308141239</v>
      </c>
      <c r="N4" s="139" t="s">
        <v>68</v>
      </c>
      <c r="O4" s="52"/>
      <c r="P4" s="38"/>
      <c r="Q4" s="111"/>
      <c r="R4" s="111"/>
      <c r="S4" s="111"/>
      <c r="T4" s="111"/>
      <c r="U4" s="42"/>
      <c r="W4" s="38"/>
      <c r="X4" s="42"/>
      <c r="Y4" s="8"/>
    </row>
    <row r="5" spans="1:25" s="123" customFormat="1">
      <c r="A5" s="118"/>
      <c r="B5" s="118"/>
      <c r="C5" s="53"/>
      <c r="D5" s="118"/>
      <c r="E5" s="118"/>
      <c r="F5" s="53"/>
      <c r="G5" s="118"/>
      <c r="H5" s="118"/>
      <c r="I5" s="118"/>
      <c r="J5" s="119"/>
      <c r="K5" s="124"/>
      <c r="L5" s="129" t="s">
        <v>191</v>
      </c>
      <c r="M5" s="130">
        <f>IF(M6&lt;=M7,M7/SQRT(COUNT(K:K)),M6)</f>
        <v>2.1698706596136019</v>
      </c>
      <c r="N5" s="131" t="s">
        <v>69</v>
      </c>
      <c r="O5" s="118"/>
      <c r="P5" s="120"/>
      <c r="Q5" s="121"/>
      <c r="R5" s="121"/>
      <c r="S5" s="121"/>
      <c r="T5" s="121"/>
      <c r="U5" s="122"/>
      <c r="W5" s="120"/>
      <c r="X5" s="122"/>
    </row>
    <row r="6" spans="1:25" s="123" customFormat="1">
      <c r="A6" s="118"/>
      <c r="B6" s="118"/>
      <c r="C6" s="53"/>
      <c r="D6" s="118"/>
      <c r="E6" s="118"/>
      <c r="F6" s="53"/>
      <c r="G6" s="118"/>
      <c r="H6" s="118"/>
      <c r="I6" s="118"/>
      <c r="J6" s="119"/>
      <c r="K6" s="124"/>
      <c r="L6" s="132" t="s">
        <v>83</v>
      </c>
      <c r="M6" s="133">
        <f>STDEV(J:J)</f>
        <v>2.1698706596136019</v>
      </c>
      <c r="N6" s="134" t="s">
        <v>69</v>
      </c>
      <c r="O6" s="118"/>
      <c r="P6" s="120"/>
      <c r="Q6" s="121"/>
      <c r="R6" s="121"/>
      <c r="S6" s="121"/>
      <c r="T6" s="121"/>
      <c r="U6" s="122"/>
      <c r="W6" s="120"/>
      <c r="X6" s="122"/>
    </row>
    <row r="7" spans="1:25" s="8" customFormat="1">
      <c r="A7" s="52"/>
      <c r="B7" s="52"/>
      <c r="C7" s="53"/>
      <c r="D7" s="52"/>
      <c r="E7" s="52"/>
      <c r="F7" s="53"/>
      <c r="G7" s="52"/>
      <c r="H7" s="52"/>
      <c r="I7" s="52"/>
      <c r="J7" s="88"/>
      <c r="K7" s="105"/>
      <c r="L7" s="125" t="s">
        <v>84</v>
      </c>
      <c r="M7" s="127">
        <f>AVERAGE(K:K)</f>
        <v>0.92821987106062454</v>
      </c>
      <c r="N7" s="126" t="s">
        <v>69</v>
      </c>
      <c r="O7" s="52"/>
      <c r="P7" s="38"/>
      <c r="Q7" s="111"/>
      <c r="R7" s="111"/>
      <c r="S7" s="111"/>
      <c r="T7" s="111"/>
      <c r="U7" s="42"/>
      <c r="W7" s="38"/>
      <c r="X7" s="42"/>
    </row>
    <row r="8" spans="1:25" s="123" customFormat="1" ht="16.5" thickBot="1">
      <c r="A8" s="118"/>
      <c r="B8" s="118"/>
      <c r="C8" s="53"/>
      <c r="D8" s="118"/>
      <c r="E8" s="118"/>
      <c r="F8" s="53"/>
      <c r="G8" s="118"/>
      <c r="H8" s="118"/>
      <c r="I8" s="118"/>
      <c r="J8" s="119"/>
      <c r="K8" s="124"/>
      <c r="L8" s="135" t="s">
        <v>164</v>
      </c>
      <c r="M8" s="136" t="str">
        <f>IF(M6&lt;=M7,"Case 1","Case 2")</f>
        <v>Case 2</v>
      </c>
      <c r="N8" s="137"/>
      <c r="O8" s="118"/>
      <c r="P8" s="120"/>
      <c r="Q8" s="121"/>
      <c r="R8" s="121"/>
      <c r="S8" s="121"/>
      <c r="T8" s="121"/>
      <c r="U8" s="122"/>
      <c r="W8" s="120"/>
      <c r="X8" s="122"/>
    </row>
    <row r="9" spans="1:25" s="8" customFormat="1" ht="63.75" thickBot="1">
      <c r="A9" s="49" t="s">
        <v>188</v>
      </c>
      <c r="B9" s="50"/>
      <c r="C9" s="51"/>
      <c r="D9" s="50"/>
      <c r="E9" s="50"/>
      <c r="F9" s="51"/>
      <c r="G9" s="50"/>
      <c r="H9" s="50"/>
      <c r="I9" s="50"/>
      <c r="J9" s="89"/>
      <c r="K9" s="90"/>
      <c r="L9" s="50"/>
      <c r="M9" s="50"/>
      <c r="N9" s="50"/>
      <c r="O9" s="50"/>
      <c r="P9" s="112"/>
      <c r="Q9" s="33"/>
      <c r="R9" s="33"/>
      <c r="S9" s="33"/>
      <c r="T9" s="33"/>
      <c r="U9" s="115"/>
      <c r="V9" s="32"/>
      <c r="W9" s="112"/>
      <c r="X9" s="115"/>
    </row>
    <row r="10" spans="1:25" s="8" customFormat="1">
      <c r="A10" s="8" t="s">
        <v>189</v>
      </c>
      <c r="B10" s="8" t="s">
        <v>165</v>
      </c>
      <c r="C10" s="8">
        <v>-35.193869999999997</v>
      </c>
      <c r="D10" s="8">
        <v>1.8833599999999999</v>
      </c>
      <c r="E10" s="8">
        <v>12</v>
      </c>
      <c r="F10" s="8">
        <v>-231.2</v>
      </c>
      <c r="G10" s="8">
        <v>1.4</v>
      </c>
      <c r="H10" s="8">
        <v>4</v>
      </c>
      <c r="J10" s="91">
        <f>W10*1000</f>
        <v>-203.15597497292015</v>
      </c>
      <c r="K10" s="92">
        <f>X10*1000</f>
        <v>0.91167010511109559</v>
      </c>
      <c r="P10" s="38">
        <f t="shared" ref="P10" si="0">C10/1000</f>
        <v>-3.5193869999999995E-2</v>
      </c>
      <c r="Q10" s="111">
        <f t="shared" ref="Q10" si="1">D10/1000</f>
        <v>1.8833599999999999E-3</v>
      </c>
      <c r="R10" s="111">
        <f>Q10/IF(E10&lt;200,IF(E10&gt;1,SQRT(2/(E10-1))*EXP(_xlfn.GAMMALN.PRECISE(E10/2))/EXP(_xlfn.GAMMALN.PRECISE((E10-1)/2)),1),1)</f>
        <v>1.9265940184875815E-3</v>
      </c>
      <c r="S10" s="111">
        <f t="shared" ref="S10" si="2">F10/1000</f>
        <v>-0.23119999999999999</v>
      </c>
      <c r="T10" s="111">
        <f t="shared" ref="T10" si="3">G10/1000</f>
        <v>1.4E-3</v>
      </c>
      <c r="U10" s="42">
        <f t="shared" ref="U10" si="4">T10/IF(H10&lt;200,IF(H10&gt;1,SQRT(2/(H10-1))*EXP(_xlfn.GAMMALN.PRECISE(H10/2))/EXP(_xlfn.GAMMALN.PRECISE((H10-1)/2)),1),1)</f>
        <v>1.519562634572362E-3</v>
      </c>
      <c r="W10" s="38">
        <f t="shared" ref="W10" si="5">(S10+1)/(P10+1)-1</f>
        <v>-0.20315597497292015</v>
      </c>
      <c r="X10" s="42">
        <f>SQRT(((1/(P10+1))^2)*(U10/SQRT(H10))^2 + ((-(S10+1)/(P10+1)^2)^2)*(R10/SQRT(E10))^2)</f>
        <v>9.1167010511109556E-4</v>
      </c>
    </row>
    <row r="11" spans="1:25">
      <c r="A11" s="8" t="s">
        <v>189</v>
      </c>
      <c r="B11" s="8" t="s">
        <v>166</v>
      </c>
      <c r="C11" s="8">
        <v>-39.60277</v>
      </c>
      <c r="D11" s="8">
        <v>1.4815799999999999</v>
      </c>
      <c r="E11" s="8">
        <v>12</v>
      </c>
      <c r="F11" s="8">
        <v>-231.2</v>
      </c>
      <c r="G11" s="8">
        <v>2.7</v>
      </c>
      <c r="H11" s="8">
        <v>7</v>
      </c>
      <c r="J11" s="106">
        <f t="shared" ref="J11:J32" si="6">W11*1000</f>
        <v>-199.49789942646956</v>
      </c>
      <c r="K11" s="107">
        <f t="shared" ref="K11:K32" si="7">X11*1000</f>
        <v>1.1660777241104319</v>
      </c>
      <c r="P11" s="38">
        <f t="shared" ref="P11:P32" si="8">C11/1000</f>
        <v>-3.9602770000000002E-2</v>
      </c>
      <c r="Q11" s="111">
        <f t="shared" ref="Q11:Q32" si="9">D11/1000</f>
        <v>1.4815799999999999E-3</v>
      </c>
      <c r="R11" s="111">
        <f t="shared" ref="R11:R32" si="10">Q11/IF(E11&lt;200,IF(E11&gt;1,SQRT(2/(E11-1))*EXP(_xlfn.GAMMALN.PRECISE(E11/2))/EXP(_xlfn.GAMMALN.PRECISE((E11-1)/2)),1),1)</f>
        <v>1.5155908407903061E-3</v>
      </c>
      <c r="S11" s="111">
        <f t="shared" ref="S11:S32" si="11">F11/1000</f>
        <v>-0.23119999999999999</v>
      </c>
      <c r="T11" s="111">
        <f t="shared" ref="T11:T32" si="12">G11/1000</f>
        <v>2.7000000000000001E-3</v>
      </c>
      <c r="U11" s="42">
        <f t="shared" ref="U11:U32" si="13">T11/IF(H11&lt;200,IF(H11&gt;1,SQRT(2/(H11-1))*EXP(_xlfn.GAMMALN.PRECISE(H11/2))/EXP(_xlfn.GAMMALN.PRECISE((H11-1)/2)),1),1)</f>
        <v>2.8143504685608192E-3</v>
      </c>
      <c r="W11" s="38">
        <f t="shared" ref="W11:W32" si="14">(S11+1)/(P11+1)-1</f>
        <v>-0.19949789942646956</v>
      </c>
      <c r="X11" s="42">
        <f t="shared" ref="X11:X32" si="15">SQRT(((1/(P11+1))^2)*(U11/SQRT(H11))^2 + ((-(S11+1)/(P11+1)^2)^2)*(R11/SQRT(E11))^2)</f>
        <v>1.1660777241104319E-3</v>
      </c>
    </row>
    <row r="12" spans="1:25">
      <c r="A12" s="8" t="s">
        <v>189</v>
      </c>
      <c r="B12" s="8" t="s">
        <v>167</v>
      </c>
      <c r="C12" s="8">
        <v>45.383780000000002</v>
      </c>
      <c r="D12" s="8">
        <v>0.98792999999999997</v>
      </c>
      <c r="E12" s="8">
        <v>12</v>
      </c>
      <c r="F12" s="8">
        <v>-166.8</v>
      </c>
      <c r="G12" s="8">
        <v>1.7</v>
      </c>
      <c r="H12" s="8">
        <v>4</v>
      </c>
      <c r="J12" s="106">
        <f t="shared" si="6"/>
        <v>-202.97213718008911</v>
      </c>
      <c r="K12" s="107">
        <f t="shared" si="7"/>
        <v>0.91013672650728028</v>
      </c>
      <c r="P12" s="38">
        <f t="shared" si="8"/>
        <v>4.5383779999999999E-2</v>
      </c>
      <c r="Q12" s="111">
        <f t="shared" si="9"/>
        <v>9.8792999999999993E-4</v>
      </c>
      <c r="R12" s="111">
        <f t="shared" si="10"/>
        <v>1.0106087145763084E-3</v>
      </c>
      <c r="S12" s="111">
        <f t="shared" si="11"/>
        <v>-0.1668</v>
      </c>
      <c r="T12" s="111">
        <f t="shared" si="12"/>
        <v>1.6999999999999999E-3</v>
      </c>
      <c r="U12" s="42">
        <f t="shared" si="13"/>
        <v>1.8451831991235824E-3</v>
      </c>
      <c r="W12" s="38">
        <f t="shared" si="14"/>
        <v>-0.20297213718008911</v>
      </c>
      <c r="X12" s="42">
        <f t="shared" si="15"/>
        <v>9.1013672650728031E-4</v>
      </c>
    </row>
    <row r="13" spans="1:25" s="8" customFormat="1">
      <c r="A13" s="8" t="s">
        <v>189</v>
      </c>
      <c r="B13" s="8" t="s">
        <v>168</v>
      </c>
      <c r="C13" s="8">
        <v>-9.2232199999999995</v>
      </c>
      <c r="D13" s="8">
        <v>2.7817099999999999</v>
      </c>
      <c r="E13" s="8">
        <v>12</v>
      </c>
      <c r="F13" s="8">
        <v>-211</v>
      </c>
      <c r="G13" s="8">
        <v>1.7</v>
      </c>
      <c r="H13" s="8">
        <v>4</v>
      </c>
      <c r="J13" s="106">
        <f t="shared" si="6"/>
        <v>-203.65513612460717</v>
      </c>
      <c r="K13" s="107">
        <f t="shared" si="7"/>
        <v>1.1414974633177244</v>
      </c>
      <c r="P13" s="38">
        <f t="shared" si="8"/>
        <v>-9.223219999999999E-3</v>
      </c>
      <c r="Q13" s="111">
        <f t="shared" si="9"/>
        <v>2.7817099999999997E-3</v>
      </c>
      <c r="R13" s="111">
        <f t="shared" si="10"/>
        <v>2.8455663533084965E-3</v>
      </c>
      <c r="S13" s="111">
        <f t="shared" si="11"/>
        <v>-0.21099999999999999</v>
      </c>
      <c r="T13" s="111">
        <f t="shared" si="12"/>
        <v>1.6999999999999999E-3</v>
      </c>
      <c r="U13" s="42">
        <f t="shared" si="13"/>
        <v>1.8451831991235824E-3</v>
      </c>
      <c r="W13" s="38">
        <f t="shared" si="14"/>
        <v>-0.20365513612460717</v>
      </c>
      <c r="X13" s="42">
        <f t="shared" si="15"/>
        <v>1.1414974633177245E-3</v>
      </c>
    </row>
    <row r="14" spans="1:25" s="8" customFormat="1">
      <c r="A14" s="8" t="s">
        <v>189</v>
      </c>
      <c r="B14" s="8" t="s">
        <v>169</v>
      </c>
      <c r="C14" s="8">
        <v>-0.7923</v>
      </c>
      <c r="D14" s="8">
        <v>1.0463899999999999</v>
      </c>
      <c r="E14" s="8">
        <v>12</v>
      </c>
      <c r="F14" s="8">
        <v>-206.2</v>
      </c>
      <c r="G14" s="8">
        <v>1.7</v>
      </c>
      <c r="H14" s="8">
        <v>5</v>
      </c>
      <c r="J14" s="106">
        <f t="shared" si="6"/>
        <v>-205.57057356543584</v>
      </c>
      <c r="K14" s="107">
        <f t="shared" si="7"/>
        <v>0.84590529361028821</v>
      </c>
      <c r="P14" s="38">
        <f t="shared" si="8"/>
        <v>-7.9230000000000001E-4</v>
      </c>
      <c r="Q14" s="111">
        <f t="shared" si="9"/>
        <v>1.0463899999999999E-3</v>
      </c>
      <c r="R14" s="111">
        <f t="shared" si="10"/>
        <v>1.0704107101166109E-3</v>
      </c>
      <c r="S14" s="111">
        <f t="shared" si="11"/>
        <v>-0.20619999999999999</v>
      </c>
      <c r="T14" s="111">
        <f t="shared" si="12"/>
        <v>1.6999999999999999E-3</v>
      </c>
      <c r="U14" s="42">
        <f t="shared" si="13"/>
        <v>1.8085383378198278E-3</v>
      </c>
      <c r="W14" s="38">
        <f t="shared" si="14"/>
        <v>-0.20557057356543584</v>
      </c>
      <c r="X14" s="42">
        <f t="shared" si="15"/>
        <v>8.4590529361028819E-4</v>
      </c>
    </row>
    <row r="15" spans="1:25" s="8" customFormat="1">
      <c r="A15" s="8" t="s">
        <v>189</v>
      </c>
      <c r="B15" s="8" t="s">
        <v>170</v>
      </c>
      <c r="C15" s="8">
        <v>-14.82762</v>
      </c>
      <c r="D15" s="8">
        <v>3.1602600000000001</v>
      </c>
      <c r="E15" s="8">
        <v>12</v>
      </c>
      <c r="F15" s="8">
        <v>-214.2</v>
      </c>
      <c r="G15" s="8">
        <v>0.7</v>
      </c>
      <c r="H15" s="8">
        <v>4</v>
      </c>
      <c r="J15" s="106">
        <f t="shared" si="6"/>
        <v>-202.3730912959617</v>
      </c>
      <c r="K15" s="107">
        <f t="shared" si="7"/>
        <v>0.84828346838884938</v>
      </c>
      <c r="P15" s="38">
        <f t="shared" si="8"/>
        <v>-1.482762E-2</v>
      </c>
      <c r="Q15" s="111">
        <f t="shared" si="9"/>
        <v>3.1602600000000002E-3</v>
      </c>
      <c r="R15" s="111">
        <f t="shared" si="10"/>
        <v>3.2328062679814612E-3</v>
      </c>
      <c r="S15" s="111">
        <f t="shared" si="11"/>
        <v>-0.2142</v>
      </c>
      <c r="T15" s="111">
        <f t="shared" si="12"/>
        <v>6.9999999999999999E-4</v>
      </c>
      <c r="U15" s="42">
        <f t="shared" si="13"/>
        <v>7.5978131728618101E-4</v>
      </c>
      <c r="W15" s="38">
        <f t="shared" si="14"/>
        <v>-0.2023730912959617</v>
      </c>
      <c r="X15" s="42">
        <f t="shared" si="15"/>
        <v>8.4828346838884943E-4</v>
      </c>
    </row>
    <row r="16" spans="1:25" s="8" customFormat="1">
      <c r="A16" s="8" t="s">
        <v>189</v>
      </c>
      <c r="B16" s="8" t="s">
        <v>171</v>
      </c>
      <c r="C16" s="8">
        <v>46.830300000000001</v>
      </c>
      <c r="D16" s="8">
        <v>1.30566</v>
      </c>
      <c r="E16" s="8">
        <v>12</v>
      </c>
      <c r="F16" s="8">
        <v>-166.7</v>
      </c>
      <c r="G16" s="8">
        <v>0.3</v>
      </c>
      <c r="H16" s="8">
        <v>3</v>
      </c>
      <c r="J16" s="106">
        <f t="shared" si="6"/>
        <v>-203.97795134512253</v>
      </c>
      <c r="K16" s="107">
        <f t="shared" si="7"/>
        <v>0.34758436939217752</v>
      </c>
      <c r="P16" s="38">
        <f t="shared" si="8"/>
        <v>4.6830299999999998E-2</v>
      </c>
      <c r="Q16" s="111">
        <f t="shared" si="9"/>
        <v>1.3056599999999999E-3</v>
      </c>
      <c r="R16" s="111">
        <f t="shared" si="10"/>
        <v>1.3356324580422732E-3</v>
      </c>
      <c r="S16" s="111">
        <f t="shared" si="11"/>
        <v>-0.16669999999999999</v>
      </c>
      <c r="T16" s="111">
        <f t="shared" si="12"/>
        <v>2.9999999999999997E-4</v>
      </c>
      <c r="U16" s="42">
        <f t="shared" si="13"/>
        <v>3.3851375012865372E-4</v>
      </c>
      <c r="W16" s="38">
        <f t="shared" si="14"/>
        <v>-0.20397795134512253</v>
      </c>
      <c r="X16" s="42">
        <f t="shared" si="15"/>
        <v>3.475843693921775E-4</v>
      </c>
    </row>
    <row r="17" spans="1:29" s="8" customFormat="1">
      <c r="A17" s="8" t="s">
        <v>189</v>
      </c>
      <c r="B17" s="8" t="s">
        <v>172</v>
      </c>
      <c r="C17" s="8">
        <v>8.5868900000000004</v>
      </c>
      <c r="D17" s="8">
        <v>3.93906</v>
      </c>
      <c r="E17" s="8">
        <v>12</v>
      </c>
      <c r="F17" s="8">
        <v>-195.5</v>
      </c>
      <c r="G17" s="8">
        <v>1.2</v>
      </c>
      <c r="H17" s="8">
        <v>4</v>
      </c>
      <c r="J17" s="106">
        <f t="shared" si="6"/>
        <v>-202.34933848882363</v>
      </c>
      <c r="K17" s="107">
        <f t="shared" si="7"/>
        <v>1.1239256298679319</v>
      </c>
      <c r="P17" s="38">
        <f t="shared" si="8"/>
        <v>8.5868899999999998E-3</v>
      </c>
      <c r="Q17" s="111">
        <f t="shared" si="9"/>
        <v>3.9390600000000003E-3</v>
      </c>
      <c r="R17" s="111">
        <f t="shared" si="10"/>
        <v>4.0294842379915118E-3</v>
      </c>
      <c r="S17" s="111">
        <f t="shared" si="11"/>
        <v>-0.19550000000000001</v>
      </c>
      <c r="T17" s="111">
        <f t="shared" si="12"/>
        <v>1.1999999999999999E-3</v>
      </c>
      <c r="U17" s="42">
        <f t="shared" si="13"/>
        <v>1.3024822582048817E-3</v>
      </c>
      <c r="W17" s="38">
        <f t="shared" si="14"/>
        <v>-0.20234933848882364</v>
      </c>
      <c r="X17" s="42">
        <f t="shared" si="15"/>
        <v>1.1239256298679319E-3</v>
      </c>
    </row>
    <row r="18" spans="1:29" s="8" customFormat="1">
      <c r="A18" s="8" t="s">
        <v>190</v>
      </c>
      <c r="B18" s="8" t="s">
        <v>173</v>
      </c>
      <c r="C18" s="8">
        <v>157.39966999999999</v>
      </c>
      <c r="D18" s="8">
        <v>0.82908000000000004</v>
      </c>
      <c r="E18" s="8">
        <v>6</v>
      </c>
      <c r="F18" s="19">
        <v>-76.7</v>
      </c>
      <c r="G18" s="8">
        <v>1.7</v>
      </c>
      <c r="H18" s="8">
        <v>12</v>
      </c>
      <c r="J18" s="106">
        <f t="shared" si="6"/>
        <v>-202.26346703554876</v>
      </c>
      <c r="K18" s="107">
        <f t="shared" si="7"/>
        <v>0.49823925022803811</v>
      </c>
      <c r="P18" s="38">
        <f t="shared" si="8"/>
        <v>0.15739966999999999</v>
      </c>
      <c r="Q18" s="111">
        <f t="shared" si="9"/>
        <v>8.2908000000000005E-4</v>
      </c>
      <c r="R18" s="111">
        <f t="shared" si="10"/>
        <v>8.7130989706709911E-4</v>
      </c>
      <c r="S18" s="111">
        <f t="shared" si="11"/>
        <v>-7.6700000000000004E-2</v>
      </c>
      <c r="T18" s="111">
        <f t="shared" si="12"/>
        <v>1.6999999999999999E-3</v>
      </c>
      <c r="U18" s="42">
        <f t="shared" si="13"/>
        <v>1.7390248446547067E-3</v>
      </c>
      <c r="W18" s="38">
        <f t="shared" si="14"/>
        <v>-0.20226346703554876</v>
      </c>
      <c r="X18" s="42">
        <f t="shared" si="15"/>
        <v>4.9823925022803809E-4</v>
      </c>
    </row>
    <row r="19" spans="1:29" s="8" customFormat="1">
      <c r="A19" s="8" t="s">
        <v>190</v>
      </c>
      <c r="B19" s="8" t="s">
        <v>174</v>
      </c>
      <c r="C19" s="8">
        <v>76.347459999999998</v>
      </c>
      <c r="D19" s="8">
        <v>1.6958599999999999</v>
      </c>
      <c r="E19" s="8">
        <v>7</v>
      </c>
      <c r="F19" s="8">
        <v>-142.4</v>
      </c>
      <c r="G19" s="8">
        <v>1.7</v>
      </c>
      <c r="H19" s="8">
        <v>5</v>
      </c>
      <c r="J19" s="106">
        <f t="shared" si="6"/>
        <v>-203.23126883209252</v>
      </c>
      <c r="K19" s="107">
        <f t="shared" si="7"/>
        <v>0.89958840282231189</v>
      </c>
      <c r="P19" s="38">
        <f t="shared" si="8"/>
        <v>7.6347459999999992E-2</v>
      </c>
      <c r="Q19" s="111">
        <f t="shared" si="9"/>
        <v>1.69586E-3</v>
      </c>
      <c r="R19" s="111">
        <f t="shared" si="10"/>
        <v>1.7676831057827965E-3</v>
      </c>
      <c r="S19" s="111">
        <f t="shared" si="11"/>
        <v>-0.1424</v>
      </c>
      <c r="T19" s="111">
        <f t="shared" si="12"/>
        <v>1.6999999999999999E-3</v>
      </c>
      <c r="U19" s="42">
        <f t="shared" si="13"/>
        <v>1.8085383378198278E-3</v>
      </c>
      <c r="W19" s="38">
        <f t="shared" si="14"/>
        <v>-0.20323126883209253</v>
      </c>
      <c r="X19" s="42">
        <f t="shared" si="15"/>
        <v>8.9958840282231185E-4</v>
      </c>
    </row>
    <row r="20" spans="1:29" s="8" customFormat="1">
      <c r="A20" s="8" t="s">
        <v>190</v>
      </c>
      <c r="B20" s="8" t="s">
        <v>175</v>
      </c>
      <c r="C20" s="8">
        <v>186.93549999999999</v>
      </c>
      <c r="D20" s="8">
        <v>1.0339100000000001</v>
      </c>
      <c r="E20" s="8">
        <v>7</v>
      </c>
      <c r="F20" s="8">
        <v>-53.8</v>
      </c>
      <c r="G20" s="8">
        <v>2.1</v>
      </c>
      <c r="H20" s="8">
        <v>4</v>
      </c>
      <c r="J20" s="106">
        <f t="shared" si="6"/>
        <v>-202.82104629948293</v>
      </c>
      <c r="K20" s="107">
        <f t="shared" si="7"/>
        <v>0.99839343993631757</v>
      </c>
      <c r="P20" s="38">
        <f t="shared" si="8"/>
        <v>0.18693549999999998</v>
      </c>
      <c r="Q20" s="111">
        <f t="shared" si="9"/>
        <v>1.0339100000000001E-3</v>
      </c>
      <c r="R20" s="111">
        <f t="shared" si="10"/>
        <v>1.0776981825739692E-3</v>
      </c>
      <c r="S20" s="111">
        <f t="shared" si="11"/>
        <v>-5.3800000000000001E-2</v>
      </c>
      <c r="T20" s="111">
        <f t="shared" si="12"/>
        <v>2.1000000000000003E-3</v>
      </c>
      <c r="U20" s="42">
        <f t="shared" si="13"/>
        <v>2.2793439518585435E-3</v>
      </c>
      <c r="W20" s="38">
        <f t="shared" si="14"/>
        <v>-0.20282104629948294</v>
      </c>
      <c r="X20" s="42">
        <f t="shared" si="15"/>
        <v>9.9839343993631761E-4</v>
      </c>
    </row>
    <row r="21" spans="1:29" s="8" customFormat="1">
      <c r="A21" s="8" t="s">
        <v>190</v>
      </c>
      <c r="B21" s="8" t="s">
        <v>176</v>
      </c>
      <c r="C21" s="8">
        <v>105.9324</v>
      </c>
      <c r="D21" s="8">
        <v>3.0543300000000002</v>
      </c>
      <c r="E21" s="8">
        <v>7</v>
      </c>
      <c r="F21" s="8">
        <v>-118</v>
      </c>
      <c r="G21" s="8">
        <v>2</v>
      </c>
      <c r="H21" s="8">
        <v>3</v>
      </c>
      <c r="J21" s="106">
        <f t="shared" si="6"/>
        <v>-202.48290040150729</v>
      </c>
      <c r="K21" s="107">
        <f t="shared" si="7"/>
        <v>1.4632124824962389</v>
      </c>
      <c r="P21" s="38">
        <f t="shared" si="8"/>
        <v>0.1059324</v>
      </c>
      <c r="Q21" s="111">
        <f t="shared" si="9"/>
        <v>3.0543300000000001E-3</v>
      </c>
      <c r="R21" s="111">
        <f t="shared" si="10"/>
        <v>3.1836870617182838E-3</v>
      </c>
      <c r="S21" s="111">
        <f t="shared" si="11"/>
        <v>-0.11799999999999999</v>
      </c>
      <c r="T21" s="111">
        <f t="shared" si="12"/>
        <v>2E-3</v>
      </c>
      <c r="U21" s="42">
        <f t="shared" si="13"/>
        <v>2.2567583341910249E-3</v>
      </c>
      <c r="W21" s="38">
        <f t="shared" si="14"/>
        <v>-0.20248290040150729</v>
      </c>
      <c r="X21" s="42">
        <f t="shared" si="15"/>
        <v>1.4632124824962389E-3</v>
      </c>
    </row>
    <row r="22" spans="1:29" s="8" customFormat="1">
      <c r="A22" s="8" t="s">
        <v>190</v>
      </c>
      <c r="B22" s="8" t="s">
        <v>177</v>
      </c>
      <c r="C22" s="8">
        <v>197.54349999999999</v>
      </c>
      <c r="D22" s="8">
        <v>1.1661900000000001</v>
      </c>
      <c r="E22" s="8">
        <v>7</v>
      </c>
      <c r="F22" s="8">
        <v>-52.6</v>
      </c>
      <c r="G22" s="8">
        <v>0.8</v>
      </c>
      <c r="H22" s="8">
        <v>5</v>
      </c>
      <c r="J22" s="106">
        <f t="shared" si="6"/>
        <v>-208.88051248242755</v>
      </c>
      <c r="K22" s="107">
        <f t="shared" si="7"/>
        <v>0.43947515162564504</v>
      </c>
      <c r="P22" s="38">
        <f t="shared" si="8"/>
        <v>0.19754349999999998</v>
      </c>
      <c r="Q22" s="111">
        <f t="shared" si="9"/>
        <v>1.1661900000000001E-3</v>
      </c>
      <c r="R22" s="111">
        <f t="shared" si="10"/>
        <v>1.2155805084929413E-3</v>
      </c>
      <c r="S22" s="111">
        <f t="shared" si="11"/>
        <v>-5.2600000000000001E-2</v>
      </c>
      <c r="T22" s="111">
        <f t="shared" si="12"/>
        <v>8.0000000000000004E-4</v>
      </c>
      <c r="U22" s="42">
        <f t="shared" si="13"/>
        <v>8.5107686485638972E-4</v>
      </c>
      <c r="W22" s="38">
        <f t="shared" si="14"/>
        <v>-0.20888051248242756</v>
      </c>
      <c r="X22" s="42">
        <f t="shared" si="15"/>
        <v>4.3947515162564503E-4</v>
      </c>
    </row>
    <row r="23" spans="1:29" s="8" customFormat="1">
      <c r="A23" s="8" t="s">
        <v>190</v>
      </c>
      <c r="B23" s="8" t="s">
        <v>178</v>
      </c>
      <c r="C23" s="8">
        <v>-12.926259999999999</v>
      </c>
      <c r="D23" s="8">
        <v>1.82148</v>
      </c>
      <c r="E23" s="8">
        <v>7</v>
      </c>
      <c r="F23" s="8">
        <v>-214.7</v>
      </c>
      <c r="G23" s="8">
        <v>2</v>
      </c>
      <c r="H23" s="8">
        <v>8</v>
      </c>
      <c r="J23" s="106">
        <f t="shared" si="6"/>
        <v>-204.41607533799854</v>
      </c>
      <c r="K23" s="107">
        <f t="shared" si="7"/>
        <v>0.94105818799113738</v>
      </c>
      <c r="P23" s="38">
        <f t="shared" si="8"/>
        <v>-1.2926259999999998E-2</v>
      </c>
      <c r="Q23" s="111">
        <f t="shared" si="9"/>
        <v>1.8214799999999999E-3</v>
      </c>
      <c r="R23" s="111">
        <f t="shared" si="10"/>
        <v>1.8986233672126519E-3</v>
      </c>
      <c r="S23" s="111">
        <f t="shared" si="11"/>
        <v>-0.2147</v>
      </c>
      <c r="T23" s="111">
        <f t="shared" si="12"/>
        <v>2E-3</v>
      </c>
      <c r="U23" s="42">
        <f t="shared" si="13"/>
        <v>2.0724734512364193E-3</v>
      </c>
      <c r="W23" s="38">
        <f t="shared" si="14"/>
        <v>-0.20441607533799855</v>
      </c>
      <c r="X23" s="42">
        <f t="shared" si="15"/>
        <v>9.4105818799113735E-4</v>
      </c>
    </row>
    <row r="24" spans="1:29" s="8" customFormat="1">
      <c r="A24" s="8" t="s">
        <v>190</v>
      </c>
      <c r="B24" s="8" t="s">
        <v>179</v>
      </c>
      <c r="C24" s="8">
        <v>182.36447000000001</v>
      </c>
      <c r="D24" s="8">
        <v>0.48477999999999999</v>
      </c>
      <c r="E24" s="8">
        <v>7</v>
      </c>
      <c r="F24" s="8">
        <v>-62.8</v>
      </c>
      <c r="G24" s="8">
        <v>1.6</v>
      </c>
      <c r="H24" s="8">
        <v>6</v>
      </c>
      <c r="J24" s="106">
        <f t="shared" si="6"/>
        <v>-207.35101250124677</v>
      </c>
      <c r="K24" s="107">
        <f t="shared" si="7"/>
        <v>0.59454014241572306</v>
      </c>
      <c r="P24" s="38">
        <f t="shared" si="8"/>
        <v>0.18236447</v>
      </c>
      <c r="Q24" s="111">
        <f t="shared" si="9"/>
        <v>4.8477999999999998E-4</v>
      </c>
      <c r="R24" s="111">
        <f t="shared" si="10"/>
        <v>5.0531141486996807E-4</v>
      </c>
      <c r="S24" s="111">
        <f t="shared" si="11"/>
        <v>-6.2799999999999995E-2</v>
      </c>
      <c r="T24" s="111">
        <f t="shared" si="12"/>
        <v>1.6000000000000001E-3</v>
      </c>
      <c r="U24" s="42">
        <f t="shared" si="13"/>
        <v>1.6814973649193787E-3</v>
      </c>
      <c r="W24" s="38">
        <f t="shared" si="14"/>
        <v>-0.20735101250124677</v>
      </c>
      <c r="X24" s="42">
        <f t="shared" si="15"/>
        <v>5.9454014241572305E-4</v>
      </c>
    </row>
    <row r="25" spans="1:29" s="8" customFormat="1">
      <c r="A25" s="8" t="s">
        <v>190</v>
      </c>
      <c r="B25" s="8" t="s">
        <v>180</v>
      </c>
      <c r="C25" s="8">
        <v>199.98228</v>
      </c>
      <c r="D25" s="8">
        <v>1.1274999999999999</v>
      </c>
      <c r="E25" s="8">
        <v>7</v>
      </c>
      <c r="F25" s="8">
        <v>-48.8</v>
      </c>
      <c r="G25" s="8">
        <v>1.4</v>
      </c>
      <c r="H25" s="8">
        <v>6</v>
      </c>
      <c r="J25" s="106">
        <f t="shared" si="6"/>
        <v>-207.32162811604184</v>
      </c>
      <c r="K25" s="107">
        <f t="shared" si="7"/>
        <v>0.58022289190702325</v>
      </c>
      <c r="P25" s="38">
        <f t="shared" si="8"/>
        <v>0.19998228000000001</v>
      </c>
      <c r="Q25" s="111">
        <f t="shared" si="9"/>
        <v>1.1275E-3</v>
      </c>
      <c r="R25" s="111">
        <f t="shared" si="10"/>
        <v>1.1752519086304901E-3</v>
      </c>
      <c r="S25" s="111">
        <f t="shared" si="11"/>
        <v>-4.8799999999999996E-2</v>
      </c>
      <c r="T25" s="111">
        <f t="shared" si="12"/>
        <v>1.4E-3</v>
      </c>
      <c r="U25" s="42">
        <f t="shared" si="13"/>
        <v>1.4713101943044564E-3</v>
      </c>
      <c r="W25" s="38">
        <f t="shared" si="14"/>
        <v>-0.20732162811604182</v>
      </c>
      <c r="X25" s="42">
        <f t="shared" si="15"/>
        <v>5.802228919070232E-4</v>
      </c>
    </row>
    <row r="26" spans="1:29" s="8" customFormat="1">
      <c r="A26" s="8" t="s">
        <v>190</v>
      </c>
      <c r="B26" s="8" t="s">
        <v>181</v>
      </c>
      <c r="C26" s="8">
        <v>192.22335000000001</v>
      </c>
      <c r="D26" s="8">
        <v>0.97526999999999997</v>
      </c>
      <c r="E26" s="8">
        <v>7</v>
      </c>
      <c r="F26" s="8">
        <v>-53</v>
      </c>
      <c r="G26" s="8">
        <v>1.6</v>
      </c>
      <c r="H26" s="8">
        <v>4</v>
      </c>
      <c r="J26" s="106">
        <f t="shared" si="6"/>
        <v>-205.68574671851547</v>
      </c>
      <c r="K26" s="107">
        <f t="shared" si="7"/>
        <v>0.77199948718648237</v>
      </c>
      <c r="P26" s="38">
        <f t="shared" si="8"/>
        <v>0.19222335000000002</v>
      </c>
      <c r="Q26" s="111">
        <f t="shared" si="9"/>
        <v>9.7526999999999998E-4</v>
      </c>
      <c r="R26" s="111">
        <f t="shared" si="10"/>
        <v>1.0165746598049296E-3</v>
      </c>
      <c r="S26" s="111">
        <f t="shared" si="11"/>
        <v>-5.2999999999999999E-2</v>
      </c>
      <c r="T26" s="111">
        <f t="shared" si="12"/>
        <v>1.6000000000000001E-3</v>
      </c>
      <c r="U26" s="42">
        <f t="shared" si="13"/>
        <v>1.7366430109398425E-3</v>
      </c>
      <c r="W26" s="38">
        <f t="shared" si="14"/>
        <v>-0.20568574671851547</v>
      </c>
      <c r="X26" s="42">
        <f t="shared" si="15"/>
        <v>7.7199948718648234E-4</v>
      </c>
    </row>
    <row r="27" spans="1:29" s="8" customFormat="1">
      <c r="A27" s="8" t="s">
        <v>190</v>
      </c>
      <c r="B27" s="8" t="s">
        <v>182</v>
      </c>
      <c r="C27" s="8">
        <v>-66.133139999999997</v>
      </c>
      <c r="D27" s="8">
        <v>2.2384599999999999</v>
      </c>
      <c r="E27" s="8">
        <v>7</v>
      </c>
      <c r="F27" s="8">
        <v>-254.1</v>
      </c>
      <c r="G27" s="8">
        <v>1.5</v>
      </c>
      <c r="H27" s="8">
        <v>5</v>
      </c>
      <c r="J27" s="106">
        <f t="shared" si="6"/>
        <v>-201.27800658864791</v>
      </c>
      <c r="K27" s="107">
        <f t="shared" si="7"/>
        <v>1.0737329627932479</v>
      </c>
      <c r="P27" s="38">
        <f t="shared" si="8"/>
        <v>-6.6133139999999993E-2</v>
      </c>
      <c r="Q27" s="111">
        <f t="shared" si="9"/>
        <v>2.2384599999999998E-3</v>
      </c>
      <c r="R27" s="111">
        <f t="shared" si="10"/>
        <v>2.3332633147609815E-3</v>
      </c>
      <c r="S27" s="111">
        <f t="shared" si="11"/>
        <v>-0.25409999999999999</v>
      </c>
      <c r="T27" s="111">
        <f t="shared" si="12"/>
        <v>1.5E-3</v>
      </c>
      <c r="U27" s="42">
        <f t="shared" si="13"/>
        <v>1.5957691216057306E-3</v>
      </c>
      <c r="W27" s="38">
        <f t="shared" si="14"/>
        <v>-0.20127800658864792</v>
      </c>
      <c r="X27" s="42">
        <f t="shared" si="15"/>
        <v>1.0737329627932479E-3</v>
      </c>
    </row>
    <row r="28" spans="1:29" s="8" customFormat="1">
      <c r="A28" s="8" t="s">
        <v>190</v>
      </c>
      <c r="B28" s="8" t="s">
        <v>183</v>
      </c>
      <c r="C28" s="8">
        <v>184.85612</v>
      </c>
      <c r="D28" s="8">
        <v>0.77175000000000005</v>
      </c>
      <c r="E28" s="8">
        <v>7</v>
      </c>
      <c r="F28" s="8">
        <v>-54.9</v>
      </c>
      <c r="G28" s="8">
        <v>1.5</v>
      </c>
      <c r="H28" s="8">
        <v>5</v>
      </c>
      <c r="J28" s="106">
        <f t="shared" si="6"/>
        <v>-202.35040858800645</v>
      </c>
      <c r="K28" s="107">
        <f t="shared" si="7"/>
        <v>0.6361389125489072</v>
      </c>
      <c r="P28" s="38">
        <f t="shared" si="8"/>
        <v>0.18485612000000001</v>
      </c>
      <c r="Q28" s="111">
        <f t="shared" si="9"/>
        <v>7.7175000000000008E-4</v>
      </c>
      <c r="R28" s="111">
        <f t="shared" si="10"/>
        <v>8.0443517559696746E-4</v>
      </c>
      <c r="S28" s="111">
        <f t="shared" si="11"/>
        <v>-5.4899999999999997E-2</v>
      </c>
      <c r="T28" s="111">
        <f t="shared" si="12"/>
        <v>1.5E-3</v>
      </c>
      <c r="U28" s="42">
        <f t="shared" si="13"/>
        <v>1.5957691216057306E-3</v>
      </c>
      <c r="W28" s="38">
        <f t="shared" si="14"/>
        <v>-0.20235040858800646</v>
      </c>
      <c r="X28" s="42">
        <f t="shared" si="15"/>
        <v>6.3613891254890717E-4</v>
      </c>
    </row>
    <row r="29" spans="1:29">
      <c r="A29" s="8" t="s">
        <v>190</v>
      </c>
      <c r="B29" s="8" t="s">
        <v>184</v>
      </c>
      <c r="C29" s="8">
        <v>33.216500000000003</v>
      </c>
      <c r="D29" s="8">
        <v>2.9295900000000001</v>
      </c>
      <c r="E29" s="8">
        <v>7</v>
      </c>
      <c r="F29" s="8">
        <v>-178.2</v>
      </c>
      <c r="G29" s="8">
        <v>2.5</v>
      </c>
      <c r="H29" s="8">
        <v>9</v>
      </c>
      <c r="I29" s="17"/>
      <c r="J29" s="106">
        <f t="shared" si="6"/>
        <v>-204.61974813603922</v>
      </c>
      <c r="K29" s="107">
        <f t="shared" si="7"/>
        <v>1.2172842650356719</v>
      </c>
      <c r="P29" s="38">
        <f t="shared" si="8"/>
        <v>3.3216500000000003E-2</v>
      </c>
      <c r="Q29" s="111">
        <f t="shared" si="9"/>
        <v>2.9295900000000001E-3</v>
      </c>
      <c r="R29" s="111">
        <f t="shared" si="10"/>
        <v>3.053664070070774E-3</v>
      </c>
      <c r="S29" s="111">
        <f t="shared" si="11"/>
        <v>-0.1782</v>
      </c>
      <c r="T29" s="111">
        <f t="shared" si="12"/>
        <v>2.5000000000000001E-3</v>
      </c>
      <c r="U29" s="42">
        <f t="shared" si="13"/>
        <v>2.5791523819326001E-3</v>
      </c>
      <c r="W29" s="38">
        <f t="shared" si="14"/>
        <v>-0.20461974813603923</v>
      </c>
      <c r="X29" s="42">
        <f t="shared" si="15"/>
        <v>1.2172842650356719E-3</v>
      </c>
      <c r="Y29" s="17"/>
      <c r="Z29" s="17"/>
      <c r="AA29" s="17"/>
      <c r="AB29" s="17"/>
      <c r="AC29" s="17"/>
    </row>
    <row r="30" spans="1:29">
      <c r="A30" s="8" t="s">
        <v>190</v>
      </c>
      <c r="B30" s="8" t="s">
        <v>185</v>
      </c>
      <c r="C30" s="8">
        <v>196.6679</v>
      </c>
      <c r="D30" s="8">
        <v>1.2528900000000001</v>
      </c>
      <c r="E30" s="8">
        <v>7</v>
      </c>
      <c r="F30" s="8">
        <v>-49</v>
      </c>
      <c r="G30" s="8">
        <v>1.5</v>
      </c>
      <c r="H30" s="8">
        <v>4</v>
      </c>
      <c r="J30" s="106">
        <f t="shared" si="6"/>
        <v>-205.29329816568165</v>
      </c>
      <c r="K30" s="107">
        <f t="shared" si="7"/>
        <v>0.75512564980288699</v>
      </c>
      <c r="P30" s="38">
        <f t="shared" si="8"/>
        <v>0.19666790000000001</v>
      </c>
      <c r="Q30" s="111">
        <f t="shared" si="9"/>
        <v>1.25289E-3</v>
      </c>
      <c r="R30" s="111">
        <f t="shared" si="10"/>
        <v>1.3059524290945054E-3</v>
      </c>
      <c r="S30" s="111">
        <f t="shared" si="11"/>
        <v>-4.9000000000000002E-2</v>
      </c>
      <c r="T30" s="111">
        <f t="shared" si="12"/>
        <v>1.5E-3</v>
      </c>
      <c r="U30" s="42">
        <f t="shared" si="13"/>
        <v>1.6281028227561024E-3</v>
      </c>
      <c r="W30" s="38">
        <f t="shared" si="14"/>
        <v>-0.20529329816568165</v>
      </c>
      <c r="X30" s="42">
        <f t="shared" si="15"/>
        <v>7.55125649802887E-4</v>
      </c>
    </row>
    <row r="31" spans="1:29">
      <c r="A31" s="8" t="s">
        <v>190</v>
      </c>
      <c r="B31" s="8" t="s">
        <v>186</v>
      </c>
      <c r="C31" s="8">
        <v>-49.889620000000001</v>
      </c>
      <c r="D31" s="8">
        <v>3.34598</v>
      </c>
      <c r="E31" s="8">
        <v>7</v>
      </c>
      <c r="F31" s="8">
        <v>-242.6</v>
      </c>
      <c r="G31" s="8">
        <v>2.9</v>
      </c>
      <c r="H31" s="8">
        <v>5</v>
      </c>
      <c r="J31" s="106">
        <f t="shared" si="6"/>
        <v>-202.82946493016939</v>
      </c>
      <c r="K31" s="107">
        <f t="shared" si="7"/>
        <v>1.8254032658665624</v>
      </c>
      <c r="P31" s="38">
        <f t="shared" si="8"/>
        <v>-4.9889620000000003E-2</v>
      </c>
      <c r="Q31" s="111">
        <f t="shared" si="9"/>
        <v>3.3459800000000001E-3</v>
      </c>
      <c r="R31" s="111">
        <f t="shared" si="10"/>
        <v>3.4876890299241222E-3</v>
      </c>
      <c r="S31" s="111">
        <f t="shared" si="11"/>
        <v>-0.24259999999999998</v>
      </c>
      <c r="T31" s="111">
        <f t="shared" si="12"/>
        <v>2.8999999999999998E-3</v>
      </c>
      <c r="U31" s="42">
        <f t="shared" si="13"/>
        <v>3.0851536351044124E-3</v>
      </c>
      <c r="W31" s="38">
        <f t="shared" si="14"/>
        <v>-0.2028294649301694</v>
      </c>
      <c r="X31" s="42">
        <f t="shared" si="15"/>
        <v>1.8254032658665625E-3</v>
      </c>
    </row>
    <row r="32" spans="1:29">
      <c r="A32" s="8" t="s">
        <v>190</v>
      </c>
      <c r="B32" s="8" t="s">
        <v>187</v>
      </c>
      <c r="C32" s="8">
        <v>-14.617010000000001</v>
      </c>
      <c r="D32" s="8">
        <v>4.0239000000000003</v>
      </c>
      <c r="E32" s="8">
        <v>7</v>
      </c>
      <c r="F32" s="8">
        <v>-213.4</v>
      </c>
      <c r="G32" s="8">
        <v>1.2</v>
      </c>
      <c r="H32" s="8">
        <v>8</v>
      </c>
      <c r="J32" s="106">
        <f t="shared" si="6"/>
        <v>-201.7317043396497</v>
      </c>
      <c r="K32" s="107">
        <f t="shared" si="7"/>
        <v>1.3595617614323869</v>
      </c>
      <c r="P32" s="38">
        <f t="shared" si="8"/>
        <v>-1.461701E-2</v>
      </c>
      <c r="Q32" s="111">
        <f t="shared" si="9"/>
        <v>4.0239000000000004E-3</v>
      </c>
      <c r="R32" s="111">
        <f t="shared" si="10"/>
        <v>4.1943203149784744E-3</v>
      </c>
      <c r="S32" s="111">
        <f t="shared" si="11"/>
        <v>-0.21340000000000001</v>
      </c>
      <c r="T32" s="111">
        <f t="shared" si="12"/>
        <v>1.1999999999999999E-3</v>
      </c>
      <c r="U32" s="42">
        <f t="shared" si="13"/>
        <v>1.2434840707418516E-3</v>
      </c>
      <c r="W32" s="38">
        <f t="shared" si="14"/>
        <v>-0.20173170433964971</v>
      </c>
      <c r="X32" s="42">
        <f t="shared" si="15"/>
        <v>1.359561761432387E-3</v>
      </c>
    </row>
    <row r="35" spans="3:6">
      <c r="C35" s="8"/>
      <c r="F35" s="8"/>
    </row>
    <row r="36" spans="3:6">
      <c r="C36" s="8"/>
      <c r="F36" s="8"/>
    </row>
  </sheetData>
  <mergeCells count="4">
    <mergeCell ref="J2:K2"/>
    <mergeCell ref="C2:H2"/>
    <mergeCell ref="P2:U2"/>
    <mergeCell ref="W2:X2"/>
  </mergeCells>
  <pageMargins left="0.75" right="0.75" top="1" bottom="1" header="0.5" footer="0.5"/>
  <pageSetup orientation="portrait" horizontalDpi="4294967292" verticalDpi="4294967292"/>
  <ignoredErrors>
    <ignoredError sqref="M5:M7 M4" emptyCellReferenc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S234"/>
  <sheetViews>
    <sheetView workbookViewId="0">
      <selection activeCell="L5" sqref="L5"/>
    </sheetView>
  </sheetViews>
  <sheetFormatPr defaultColWidth="10.875" defaultRowHeight="15.75"/>
  <cols>
    <col min="1" max="1" width="24.125" style="8" customWidth="1"/>
    <col min="2" max="3" width="9.875" style="8" customWidth="1"/>
    <col min="4" max="4" width="10.875" style="39"/>
    <col min="5" max="5" width="9.625" style="43" customWidth="1"/>
    <col min="6" max="6" width="3.375" style="8" customWidth="1"/>
    <col min="7" max="7" width="10.875" style="106"/>
    <col min="8" max="9" width="10.875" style="140"/>
    <col min="10" max="10" width="10.875" style="107"/>
    <col min="11" max="11" width="13" style="20" customWidth="1"/>
    <col min="12" max="12" width="8.875" style="20" customWidth="1"/>
    <col min="13" max="13" width="8.875" style="8" customWidth="1"/>
    <col min="14" max="14" width="10.875" style="8"/>
    <col min="15" max="15" width="25.875" style="8" customWidth="1"/>
    <col min="16" max="18" width="10.875" style="8"/>
    <col min="19" max="19" width="10.875" style="8" customWidth="1"/>
    <col min="20" max="16384" width="10.875" style="8"/>
  </cols>
  <sheetData>
    <row r="1" spans="1:19" s="3" customFormat="1">
      <c r="A1" s="5"/>
      <c r="B1" s="5"/>
      <c r="C1" s="5"/>
      <c r="D1" s="55"/>
      <c r="E1" s="56"/>
      <c r="F1" s="8"/>
      <c r="G1" s="71" t="s">
        <v>33</v>
      </c>
      <c r="H1" s="141"/>
      <c r="I1" s="141"/>
      <c r="J1" s="85"/>
      <c r="K1" s="20"/>
      <c r="L1" s="20"/>
      <c r="M1" s="8"/>
    </row>
    <row r="2" spans="1:19" s="3" customFormat="1">
      <c r="D2" s="204" t="s">
        <v>30</v>
      </c>
      <c r="E2" s="205"/>
      <c r="F2" s="8"/>
      <c r="G2" s="206" t="s">
        <v>31</v>
      </c>
      <c r="H2" s="207"/>
      <c r="I2" s="207"/>
      <c r="J2" s="208"/>
      <c r="K2" s="20"/>
      <c r="L2" s="20"/>
      <c r="M2" s="8"/>
    </row>
    <row r="3" spans="1:19" s="1" customFormat="1" ht="48" thickBot="1">
      <c r="A3" s="54" t="s">
        <v>0</v>
      </c>
      <c r="B3" s="54" t="s">
        <v>73</v>
      </c>
      <c r="C3" s="84" t="s">
        <v>63</v>
      </c>
      <c r="D3" s="57" t="s">
        <v>130</v>
      </c>
      <c r="E3" s="61" t="s">
        <v>65</v>
      </c>
      <c r="F3" s="9"/>
      <c r="G3" s="102" t="s">
        <v>74</v>
      </c>
      <c r="H3" s="104" t="s">
        <v>193</v>
      </c>
      <c r="I3" s="104" t="s">
        <v>128</v>
      </c>
      <c r="J3" s="103" t="s">
        <v>129</v>
      </c>
      <c r="M3" s="9"/>
    </row>
    <row r="4" spans="1:19" ht="47.25">
      <c r="A4" s="52"/>
      <c r="B4" s="52"/>
      <c r="C4" s="52"/>
      <c r="D4" s="58"/>
      <c r="E4" s="62"/>
      <c r="F4" s="52"/>
      <c r="G4" s="88"/>
      <c r="H4" s="142"/>
      <c r="I4" s="142"/>
      <c r="J4" s="105"/>
      <c r="K4" s="99" t="s">
        <v>86</v>
      </c>
      <c r="L4" s="96">
        <f>SUM(G:G)/SUM(H:H)</f>
        <v>2.1415193667442036</v>
      </c>
      <c r="M4" s="95" t="s">
        <v>69</v>
      </c>
    </row>
    <row r="5" spans="1:19" ht="47.25">
      <c r="A5" s="52"/>
      <c r="B5" s="52"/>
      <c r="C5" s="52"/>
      <c r="D5" s="58"/>
      <c r="E5" s="62"/>
      <c r="F5" s="52"/>
      <c r="G5" s="88"/>
      <c r="H5" s="142"/>
      <c r="I5" s="142"/>
      <c r="J5" s="105"/>
      <c r="K5" s="100" t="s">
        <v>87</v>
      </c>
      <c r="L5" s="97">
        <f>SUM(J:J)/SUM(I:I)</f>
        <v>2.3024653136169464</v>
      </c>
      <c r="M5" s="82" t="s">
        <v>69</v>
      </c>
    </row>
    <row r="6" spans="1:19" ht="16.5" thickBot="1">
      <c r="A6" s="52"/>
      <c r="B6" s="52"/>
      <c r="C6" s="52"/>
      <c r="D6" s="58"/>
      <c r="E6" s="62"/>
      <c r="F6" s="52"/>
      <c r="G6" s="88"/>
      <c r="H6" s="142"/>
      <c r="I6" s="142"/>
      <c r="J6" s="105"/>
      <c r="K6" s="101" t="s">
        <v>77</v>
      </c>
      <c r="L6" s="98">
        <f>SUM(H:H)</f>
        <v>45</v>
      </c>
      <c r="M6" s="83"/>
    </row>
    <row r="7" spans="1:19" ht="16.5" thickBot="1">
      <c r="A7" s="149" t="s">
        <v>85</v>
      </c>
      <c r="B7" s="50"/>
      <c r="C7" s="50"/>
      <c r="D7" s="59"/>
      <c r="E7" s="63"/>
      <c r="F7" s="50"/>
      <c r="G7" s="89"/>
      <c r="H7" s="143"/>
      <c r="I7" s="143"/>
      <c r="J7" s="90"/>
      <c r="O7" s="147" t="s">
        <v>195</v>
      </c>
      <c r="P7" s="148"/>
      <c r="Q7" s="148"/>
      <c r="R7" s="148"/>
      <c r="S7" s="148"/>
    </row>
    <row r="8" spans="1:19">
      <c r="A8" s="22">
        <v>1</v>
      </c>
      <c r="B8" s="23" t="s">
        <v>192</v>
      </c>
      <c r="C8" s="24">
        <v>70.261229999999998</v>
      </c>
      <c r="D8" s="24"/>
      <c r="E8" s="24">
        <v>1</v>
      </c>
      <c r="G8" s="106">
        <f t="shared" ref="G8" si="0">D8/IF(E8&lt;200,IF(E8&gt;1,SQRT(2/(E8-1))*EXP(_xlfn.GAMMALN.PRECISE(E8/2))/EXP(_xlfn.GAMMALN.PRECISE((E8-1)/2)),1),1)</f>
        <v>0</v>
      </c>
      <c r="H8" s="144">
        <f t="shared" ref="H8" si="1">IF(E8&gt;1,1,0)</f>
        <v>0</v>
      </c>
      <c r="I8" s="144">
        <f>E8-1</f>
        <v>0</v>
      </c>
      <c r="J8" s="107">
        <f>G8*I8</f>
        <v>0</v>
      </c>
      <c r="O8" s="145">
        <f>A8</f>
        <v>1</v>
      </c>
      <c r="P8" s="145" t="str">
        <f t="shared" ref="P8:S8" si="2">B8</f>
        <v xml:space="preserve">FA n30:0 </v>
      </c>
      <c r="Q8" s="145">
        <f t="shared" si="2"/>
        <v>70.261229999999998</v>
      </c>
      <c r="R8" s="146">
        <f>$L$5</f>
        <v>2.3024653136169464</v>
      </c>
      <c r="S8" s="145">
        <f t="shared" si="2"/>
        <v>1</v>
      </c>
    </row>
    <row r="9" spans="1:19">
      <c r="A9" s="22">
        <v>2</v>
      </c>
      <c r="B9" s="23" t="s">
        <v>192</v>
      </c>
      <c r="C9" s="24">
        <v>67.027410000000003</v>
      </c>
      <c r="D9" s="24">
        <v>0.45812999999999998</v>
      </c>
      <c r="E9" s="24">
        <v>2</v>
      </c>
      <c r="G9" s="106">
        <f t="shared" ref="G9:G57" si="3">D9/IF(E9&lt;200,IF(E9&gt;1,SQRT(2/(E9-1))*EXP(_xlfn.GAMMALN.PRECISE(E9/2))/EXP(_xlfn.GAMMALN.PRECISE((E9-1)/2)),1),1)</f>
        <v>0.57418080572835006</v>
      </c>
      <c r="H9" s="144">
        <f t="shared" ref="H9:H57" si="4">IF(E9&gt;1,1,0)</f>
        <v>1</v>
      </c>
      <c r="I9" s="144">
        <f t="shared" ref="I9:I57" si="5">E9-1</f>
        <v>1</v>
      </c>
      <c r="J9" s="107">
        <f t="shared" ref="J9:J57" si="6">G9*I9</f>
        <v>0.57418080572835006</v>
      </c>
      <c r="O9" s="145">
        <f t="shared" ref="O9:O57" si="7">A9</f>
        <v>2</v>
      </c>
      <c r="P9" s="145" t="str">
        <f t="shared" ref="P9:P57" si="8">B9</f>
        <v xml:space="preserve">FA n30:0 </v>
      </c>
      <c r="Q9" s="145">
        <f t="shared" ref="Q9:Q57" si="9">C9</f>
        <v>67.027410000000003</v>
      </c>
      <c r="R9" s="146">
        <f t="shared" ref="R9:R57" si="10">$L$5</f>
        <v>2.3024653136169464</v>
      </c>
      <c r="S9" s="145">
        <f t="shared" ref="S9:S57" si="11">E9</f>
        <v>2</v>
      </c>
    </row>
    <row r="10" spans="1:19">
      <c r="A10" s="22">
        <v>3</v>
      </c>
      <c r="B10" s="23" t="s">
        <v>192</v>
      </c>
      <c r="C10" s="24">
        <v>71.487250000000003</v>
      </c>
      <c r="D10" s="24">
        <v>2.3134000000000001</v>
      </c>
      <c r="E10" s="24">
        <v>4</v>
      </c>
      <c r="G10" s="106">
        <f t="shared" si="3"/>
        <v>2.5109687134426446</v>
      </c>
      <c r="H10" s="144">
        <f t="shared" si="4"/>
        <v>1</v>
      </c>
      <c r="I10" s="144">
        <f t="shared" si="5"/>
        <v>3</v>
      </c>
      <c r="J10" s="107">
        <f t="shared" si="6"/>
        <v>7.5329061403279338</v>
      </c>
      <c r="O10" s="145">
        <f t="shared" si="7"/>
        <v>3</v>
      </c>
      <c r="P10" s="145" t="str">
        <f t="shared" si="8"/>
        <v xml:space="preserve">FA n30:0 </v>
      </c>
      <c r="Q10" s="145">
        <f t="shared" si="9"/>
        <v>71.487250000000003</v>
      </c>
      <c r="R10" s="146">
        <f t="shared" si="10"/>
        <v>2.3024653136169464</v>
      </c>
      <c r="S10" s="145">
        <f t="shared" si="11"/>
        <v>4</v>
      </c>
    </row>
    <row r="11" spans="1:19">
      <c r="A11" s="22">
        <v>4</v>
      </c>
      <c r="B11" s="23" t="s">
        <v>192</v>
      </c>
      <c r="C11" s="24">
        <v>79.241749999999996</v>
      </c>
      <c r="D11" s="24">
        <v>5.4719800000000003</v>
      </c>
      <c r="E11" s="24">
        <v>3</v>
      </c>
      <c r="G11" s="106">
        <f t="shared" si="3"/>
        <v>6.1744682347633031</v>
      </c>
      <c r="H11" s="144">
        <f t="shared" si="4"/>
        <v>1</v>
      </c>
      <c r="I11" s="144">
        <f t="shared" si="5"/>
        <v>2</v>
      </c>
      <c r="J11" s="107">
        <f t="shared" si="6"/>
        <v>12.348936469526606</v>
      </c>
      <c r="O11" s="145">
        <f t="shared" si="7"/>
        <v>4</v>
      </c>
      <c r="P11" s="145" t="str">
        <f t="shared" si="8"/>
        <v xml:space="preserve">FA n30:0 </v>
      </c>
      <c r="Q11" s="145">
        <f t="shared" si="9"/>
        <v>79.241749999999996</v>
      </c>
      <c r="R11" s="146">
        <f t="shared" si="10"/>
        <v>2.3024653136169464</v>
      </c>
      <c r="S11" s="145">
        <f t="shared" si="11"/>
        <v>3</v>
      </c>
    </row>
    <row r="12" spans="1:19">
      <c r="A12" s="22">
        <v>5</v>
      </c>
      <c r="B12" s="23" t="s">
        <v>192</v>
      </c>
      <c r="C12" s="24">
        <v>73.363699999999994</v>
      </c>
      <c r="D12" s="24">
        <v>2.5899999999999999E-2</v>
      </c>
      <c r="E12" s="24">
        <v>2</v>
      </c>
      <c r="G12" s="106">
        <f t="shared" si="3"/>
        <v>3.2460836156471454E-2</v>
      </c>
      <c r="H12" s="144">
        <f t="shared" si="4"/>
        <v>1</v>
      </c>
      <c r="I12" s="144">
        <f t="shared" si="5"/>
        <v>1</v>
      </c>
      <c r="J12" s="107">
        <f t="shared" si="6"/>
        <v>3.2460836156471454E-2</v>
      </c>
      <c r="O12" s="145">
        <f t="shared" si="7"/>
        <v>5</v>
      </c>
      <c r="P12" s="145" t="str">
        <f t="shared" si="8"/>
        <v xml:space="preserve">FA n30:0 </v>
      </c>
      <c r="Q12" s="145">
        <f t="shared" si="9"/>
        <v>73.363699999999994</v>
      </c>
      <c r="R12" s="146">
        <f t="shared" si="10"/>
        <v>2.3024653136169464</v>
      </c>
      <c r="S12" s="145">
        <f t="shared" si="11"/>
        <v>2</v>
      </c>
    </row>
    <row r="13" spans="1:19">
      <c r="A13" s="22">
        <v>6</v>
      </c>
      <c r="B13" s="23" t="s">
        <v>192</v>
      </c>
      <c r="C13" s="24">
        <v>72.729060000000004</v>
      </c>
      <c r="D13" s="24">
        <v>1.6012200000000001</v>
      </c>
      <c r="E13" s="24">
        <v>3</v>
      </c>
      <c r="G13" s="106">
        <f t="shared" si="3"/>
        <v>1.8067832899366767</v>
      </c>
      <c r="H13" s="144">
        <f t="shared" si="4"/>
        <v>1</v>
      </c>
      <c r="I13" s="144">
        <f t="shared" si="5"/>
        <v>2</v>
      </c>
      <c r="J13" s="107">
        <f t="shared" si="6"/>
        <v>3.6135665798733534</v>
      </c>
      <c r="O13" s="145">
        <f t="shared" si="7"/>
        <v>6</v>
      </c>
      <c r="P13" s="145" t="str">
        <f t="shared" si="8"/>
        <v xml:space="preserve">FA n30:0 </v>
      </c>
      <c r="Q13" s="145">
        <f t="shared" si="9"/>
        <v>72.729060000000004</v>
      </c>
      <c r="R13" s="146">
        <f t="shared" si="10"/>
        <v>2.3024653136169464</v>
      </c>
      <c r="S13" s="145">
        <f t="shared" si="11"/>
        <v>3</v>
      </c>
    </row>
    <row r="14" spans="1:19">
      <c r="A14" s="22">
        <v>7</v>
      </c>
      <c r="B14" s="23" t="s">
        <v>192</v>
      </c>
      <c r="C14" s="24">
        <v>61.821680000000001</v>
      </c>
      <c r="D14" s="24">
        <v>4.4507399999999997</v>
      </c>
      <c r="E14" s="24">
        <v>3</v>
      </c>
      <c r="G14" s="106">
        <f t="shared" si="3"/>
        <v>5.0221222941586809</v>
      </c>
      <c r="H14" s="144">
        <f t="shared" si="4"/>
        <v>1</v>
      </c>
      <c r="I14" s="144">
        <f t="shared" si="5"/>
        <v>2</v>
      </c>
      <c r="J14" s="107">
        <f t="shared" si="6"/>
        <v>10.044244588317362</v>
      </c>
      <c r="O14" s="145">
        <f t="shared" si="7"/>
        <v>7</v>
      </c>
      <c r="P14" s="145" t="str">
        <f t="shared" si="8"/>
        <v xml:space="preserve">FA n30:0 </v>
      </c>
      <c r="Q14" s="145">
        <f t="shared" si="9"/>
        <v>61.821680000000001</v>
      </c>
      <c r="R14" s="146">
        <f t="shared" si="10"/>
        <v>2.3024653136169464</v>
      </c>
      <c r="S14" s="145">
        <f t="shared" si="11"/>
        <v>3</v>
      </c>
    </row>
    <row r="15" spans="1:19">
      <c r="A15" s="22">
        <v>8</v>
      </c>
      <c r="B15" s="23" t="s">
        <v>192</v>
      </c>
      <c r="C15" s="24">
        <v>65.705719999999999</v>
      </c>
      <c r="D15" s="24">
        <v>2.64507</v>
      </c>
      <c r="E15" s="24">
        <v>3</v>
      </c>
      <c r="G15" s="106">
        <f t="shared" si="3"/>
        <v>2.9846418835093274</v>
      </c>
      <c r="H15" s="144">
        <f t="shared" si="4"/>
        <v>1</v>
      </c>
      <c r="I15" s="144">
        <f t="shared" si="5"/>
        <v>2</v>
      </c>
      <c r="J15" s="107">
        <f t="shared" si="6"/>
        <v>5.9692837670186547</v>
      </c>
      <c r="O15" s="145">
        <f t="shared" si="7"/>
        <v>8</v>
      </c>
      <c r="P15" s="145" t="str">
        <f t="shared" si="8"/>
        <v xml:space="preserve">FA n30:0 </v>
      </c>
      <c r="Q15" s="145">
        <f t="shared" si="9"/>
        <v>65.705719999999999</v>
      </c>
      <c r="R15" s="146">
        <f t="shared" si="10"/>
        <v>2.3024653136169464</v>
      </c>
      <c r="S15" s="145">
        <f t="shared" si="11"/>
        <v>3</v>
      </c>
    </row>
    <row r="16" spans="1:19">
      <c r="A16" s="22">
        <v>9</v>
      </c>
      <c r="B16" s="23" t="s">
        <v>192</v>
      </c>
      <c r="C16" s="24">
        <v>66.012200000000007</v>
      </c>
      <c r="D16" s="24">
        <v>0.82667000000000002</v>
      </c>
      <c r="E16" s="24">
        <v>3</v>
      </c>
      <c r="G16" s="106">
        <f t="shared" si="3"/>
        <v>0.93279720606284733</v>
      </c>
      <c r="H16" s="144">
        <f t="shared" si="4"/>
        <v>1</v>
      </c>
      <c r="I16" s="144">
        <f t="shared" si="5"/>
        <v>2</v>
      </c>
      <c r="J16" s="107">
        <f t="shared" si="6"/>
        <v>1.8655944121256947</v>
      </c>
      <c r="O16" s="145">
        <f t="shared" si="7"/>
        <v>9</v>
      </c>
      <c r="P16" s="145" t="str">
        <f t="shared" si="8"/>
        <v xml:space="preserve">FA n30:0 </v>
      </c>
      <c r="Q16" s="145">
        <f t="shared" si="9"/>
        <v>66.012200000000007</v>
      </c>
      <c r="R16" s="146">
        <f t="shared" si="10"/>
        <v>2.3024653136169464</v>
      </c>
      <c r="S16" s="145">
        <f t="shared" si="11"/>
        <v>3</v>
      </c>
    </row>
    <row r="17" spans="1:19">
      <c r="A17" s="22">
        <v>10</v>
      </c>
      <c r="B17" s="23" t="s">
        <v>192</v>
      </c>
      <c r="C17" s="24">
        <v>68.032730000000001</v>
      </c>
      <c r="D17" s="24">
        <v>0.67783000000000004</v>
      </c>
      <c r="E17" s="24">
        <v>2</v>
      </c>
      <c r="G17" s="106">
        <f t="shared" si="3"/>
        <v>0.8495339216965655</v>
      </c>
      <c r="H17" s="144">
        <f t="shared" si="4"/>
        <v>1</v>
      </c>
      <c r="I17" s="144">
        <f t="shared" si="5"/>
        <v>1</v>
      </c>
      <c r="J17" s="107">
        <f t="shared" si="6"/>
        <v>0.8495339216965655</v>
      </c>
      <c r="O17" s="145">
        <f t="shared" si="7"/>
        <v>10</v>
      </c>
      <c r="P17" s="145" t="str">
        <f t="shared" si="8"/>
        <v xml:space="preserve">FA n30:0 </v>
      </c>
      <c r="Q17" s="145">
        <f t="shared" si="9"/>
        <v>68.032730000000001</v>
      </c>
      <c r="R17" s="146">
        <f t="shared" si="10"/>
        <v>2.3024653136169464</v>
      </c>
      <c r="S17" s="145">
        <f t="shared" si="11"/>
        <v>2</v>
      </c>
    </row>
    <row r="18" spans="1:19">
      <c r="A18" s="22">
        <v>11</v>
      </c>
      <c r="B18" s="23" t="s">
        <v>192</v>
      </c>
      <c r="C18" s="24">
        <v>72.368700000000004</v>
      </c>
      <c r="D18" s="24">
        <v>5.5574199999999996</v>
      </c>
      <c r="E18" s="24">
        <v>3</v>
      </c>
      <c r="G18" s="106">
        <f t="shared" si="3"/>
        <v>6.2708769507999431</v>
      </c>
      <c r="H18" s="144">
        <f t="shared" si="4"/>
        <v>1</v>
      </c>
      <c r="I18" s="144">
        <f t="shared" si="5"/>
        <v>2</v>
      </c>
      <c r="J18" s="107">
        <f t="shared" si="6"/>
        <v>12.541753901599886</v>
      </c>
      <c r="O18" s="145">
        <f t="shared" si="7"/>
        <v>11</v>
      </c>
      <c r="P18" s="145" t="str">
        <f t="shared" si="8"/>
        <v xml:space="preserve">FA n30:0 </v>
      </c>
      <c r="Q18" s="145">
        <f t="shared" si="9"/>
        <v>72.368700000000004</v>
      </c>
      <c r="R18" s="146">
        <f t="shared" si="10"/>
        <v>2.3024653136169464</v>
      </c>
      <c r="S18" s="145">
        <f t="shared" si="11"/>
        <v>3</v>
      </c>
    </row>
    <row r="19" spans="1:19">
      <c r="A19" s="22">
        <v>12</v>
      </c>
      <c r="B19" s="23" t="s">
        <v>192</v>
      </c>
      <c r="C19" s="24">
        <v>68.835340000000002</v>
      </c>
      <c r="D19" s="24">
        <v>0.63407000000000002</v>
      </c>
      <c r="E19" s="24">
        <v>2</v>
      </c>
      <c r="G19" s="106">
        <f t="shared" si="3"/>
        <v>0.79468889504763918</v>
      </c>
      <c r="H19" s="144">
        <f t="shared" si="4"/>
        <v>1</v>
      </c>
      <c r="I19" s="144">
        <f t="shared" si="5"/>
        <v>1</v>
      </c>
      <c r="J19" s="107">
        <f t="shared" si="6"/>
        <v>0.79468889504763918</v>
      </c>
      <c r="O19" s="145">
        <f t="shared" si="7"/>
        <v>12</v>
      </c>
      <c r="P19" s="145" t="str">
        <f t="shared" si="8"/>
        <v xml:space="preserve">FA n30:0 </v>
      </c>
      <c r="Q19" s="145">
        <f t="shared" si="9"/>
        <v>68.835340000000002</v>
      </c>
      <c r="R19" s="146">
        <f t="shared" si="10"/>
        <v>2.3024653136169464</v>
      </c>
      <c r="S19" s="145">
        <f t="shared" si="11"/>
        <v>2</v>
      </c>
    </row>
    <row r="20" spans="1:19">
      <c r="A20" s="22">
        <v>13</v>
      </c>
      <c r="B20" s="23" t="s">
        <v>192</v>
      </c>
      <c r="C20" s="24">
        <v>65.657309999999995</v>
      </c>
      <c r="D20" s="24">
        <v>2.6682299999999999</v>
      </c>
      <c r="E20" s="24">
        <v>3</v>
      </c>
      <c r="G20" s="106">
        <f t="shared" si="3"/>
        <v>3.0107751450192595</v>
      </c>
      <c r="H20" s="144">
        <f t="shared" si="4"/>
        <v>1</v>
      </c>
      <c r="I20" s="144">
        <f t="shared" si="5"/>
        <v>2</v>
      </c>
      <c r="J20" s="107">
        <f t="shared" si="6"/>
        <v>6.0215502900385189</v>
      </c>
      <c r="O20" s="145">
        <f t="shared" si="7"/>
        <v>13</v>
      </c>
      <c r="P20" s="145" t="str">
        <f t="shared" si="8"/>
        <v xml:space="preserve">FA n30:0 </v>
      </c>
      <c r="Q20" s="145">
        <f t="shared" si="9"/>
        <v>65.657309999999995</v>
      </c>
      <c r="R20" s="146">
        <f t="shared" si="10"/>
        <v>2.3024653136169464</v>
      </c>
      <c r="S20" s="145">
        <f t="shared" si="11"/>
        <v>3</v>
      </c>
    </row>
    <row r="21" spans="1:19">
      <c r="A21" s="22">
        <v>14</v>
      </c>
      <c r="B21" s="23" t="s">
        <v>192</v>
      </c>
      <c r="C21" s="24">
        <v>68.481290000000001</v>
      </c>
      <c r="D21" s="24">
        <v>0.67620999999999998</v>
      </c>
      <c r="E21" s="24">
        <v>3</v>
      </c>
      <c r="G21" s="106">
        <f t="shared" si="3"/>
        <v>0.76302127658165653</v>
      </c>
      <c r="H21" s="144">
        <f t="shared" si="4"/>
        <v>1</v>
      </c>
      <c r="I21" s="144">
        <f t="shared" si="5"/>
        <v>2</v>
      </c>
      <c r="J21" s="107">
        <f t="shared" si="6"/>
        <v>1.5260425531633131</v>
      </c>
      <c r="O21" s="145">
        <f t="shared" si="7"/>
        <v>14</v>
      </c>
      <c r="P21" s="145" t="str">
        <f t="shared" si="8"/>
        <v xml:space="preserve">FA n30:0 </v>
      </c>
      <c r="Q21" s="145">
        <f t="shared" si="9"/>
        <v>68.481290000000001</v>
      </c>
      <c r="R21" s="146">
        <f t="shared" si="10"/>
        <v>2.3024653136169464</v>
      </c>
      <c r="S21" s="145">
        <f t="shared" si="11"/>
        <v>3</v>
      </c>
    </row>
    <row r="22" spans="1:19">
      <c r="A22" s="22">
        <v>15</v>
      </c>
      <c r="B22" s="23" t="s">
        <v>192</v>
      </c>
      <c r="C22" s="24">
        <v>65.159170000000003</v>
      </c>
      <c r="D22" s="24">
        <v>2.0341900000000002</v>
      </c>
      <c r="E22" s="24">
        <v>4</v>
      </c>
      <c r="G22" s="106">
        <f t="shared" si="3"/>
        <v>2.2079136540148241</v>
      </c>
      <c r="H22" s="144">
        <f t="shared" si="4"/>
        <v>1</v>
      </c>
      <c r="I22" s="144">
        <f t="shared" si="5"/>
        <v>3</v>
      </c>
      <c r="J22" s="107">
        <f t="shared" si="6"/>
        <v>6.6237409620444723</v>
      </c>
      <c r="O22" s="145">
        <f t="shared" si="7"/>
        <v>15</v>
      </c>
      <c r="P22" s="145" t="str">
        <f t="shared" si="8"/>
        <v xml:space="preserve">FA n30:0 </v>
      </c>
      <c r="Q22" s="145">
        <f t="shared" si="9"/>
        <v>65.159170000000003</v>
      </c>
      <c r="R22" s="146">
        <f t="shared" si="10"/>
        <v>2.3024653136169464</v>
      </c>
      <c r="S22" s="145">
        <f t="shared" si="11"/>
        <v>4</v>
      </c>
    </row>
    <row r="23" spans="1:19">
      <c r="A23" s="22">
        <v>16</v>
      </c>
      <c r="B23" s="23" t="s">
        <v>192</v>
      </c>
      <c r="C23" s="24">
        <v>64.693449999999999</v>
      </c>
      <c r="D23" s="24">
        <v>1.5280100000000001</v>
      </c>
      <c r="E23" s="24">
        <v>2</v>
      </c>
      <c r="G23" s="106">
        <f t="shared" si="3"/>
        <v>1.9150765349594576</v>
      </c>
      <c r="H23" s="144">
        <f t="shared" si="4"/>
        <v>1</v>
      </c>
      <c r="I23" s="144">
        <f t="shared" si="5"/>
        <v>1</v>
      </c>
      <c r="J23" s="107">
        <f t="shared" si="6"/>
        <v>1.9150765349594576</v>
      </c>
      <c r="O23" s="145">
        <f t="shared" si="7"/>
        <v>16</v>
      </c>
      <c r="P23" s="145" t="str">
        <f t="shared" si="8"/>
        <v xml:space="preserve">FA n30:0 </v>
      </c>
      <c r="Q23" s="145">
        <f t="shared" si="9"/>
        <v>64.693449999999999</v>
      </c>
      <c r="R23" s="146">
        <f t="shared" si="10"/>
        <v>2.3024653136169464</v>
      </c>
      <c r="S23" s="145">
        <f t="shared" si="11"/>
        <v>2</v>
      </c>
    </row>
    <row r="24" spans="1:19">
      <c r="A24" s="22">
        <v>17</v>
      </c>
      <c r="B24" s="23" t="s">
        <v>192</v>
      </c>
      <c r="C24" s="24">
        <v>60.870460000000001</v>
      </c>
      <c r="D24" s="24">
        <v>2.46929</v>
      </c>
      <c r="E24" s="24">
        <v>2</v>
      </c>
      <c r="G24" s="106">
        <f t="shared" si="3"/>
        <v>3.0947960661317913</v>
      </c>
      <c r="H24" s="144">
        <f t="shared" si="4"/>
        <v>1</v>
      </c>
      <c r="I24" s="144">
        <f t="shared" si="5"/>
        <v>1</v>
      </c>
      <c r="J24" s="107">
        <f t="shared" si="6"/>
        <v>3.0947960661317913</v>
      </c>
      <c r="O24" s="145">
        <f t="shared" si="7"/>
        <v>17</v>
      </c>
      <c r="P24" s="145" t="str">
        <f t="shared" si="8"/>
        <v xml:space="preserve">FA n30:0 </v>
      </c>
      <c r="Q24" s="145">
        <f t="shared" si="9"/>
        <v>60.870460000000001</v>
      </c>
      <c r="R24" s="146">
        <f t="shared" si="10"/>
        <v>2.3024653136169464</v>
      </c>
      <c r="S24" s="145">
        <f t="shared" si="11"/>
        <v>2</v>
      </c>
    </row>
    <row r="25" spans="1:19">
      <c r="A25" s="22">
        <v>18</v>
      </c>
      <c r="B25" s="23" t="s">
        <v>192</v>
      </c>
      <c r="C25" s="24">
        <v>64.296880000000002</v>
      </c>
      <c r="D25" s="24">
        <v>1.34E-2</v>
      </c>
      <c r="E25" s="24">
        <v>2</v>
      </c>
      <c r="G25" s="106">
        <f t="shared" si="3"/>
        <v>1.6794409440027702E-2</v>
      </c>
      <c r="H25" s="144">
        <f t="shared" si="4"/>
        <v>1</v>
      </c>
      <c r="I25" s="144">
        <f t="shared" si="5"/>
        <v>1</v>
      </c>
      <c r="J25" s="107">
        <f t="shared" si="6"/>
        <v>1.6794409440027702E-2</v>
      </c>
      <c r="O25" s="145">
        <f t="shared" si="7"/>
        <v>18</v>
      </c>
      <c r="P25" s="145" t="str">
        <f t="shared" si="8"/>
        <v xml:space="preserve">FA n30:0 </v>
      </c>
      <c r="Q25" s="145">
        <f t="shared" si="9"/>
        <v>64.296880000000002</v>
      </c>
      <c r="R25" s="146">
        <f t="shared" si="10"/>
        <v>2.3024653136169464</v>
      </c>
      <c r="S25" s="145">
        <f t="shared" si="11"/>
        <v>2</v>
      </c>
    </row>
    <row r="26" spans="1:19">
      <c r="A26" s="22">
        <v>19</v>
      </c>
      <c r="B26" s="23" t="s">
        <v>192</v>
      </c>
      <c r="C26" s="24">
        <v>57.863970000000002</v>
      </c>
      <c r="D26" s="24">
        <v>3.3828800000000001</v>
      </c>
      <c r="E26" s="24">
        <v>2</v>
      </c>
      <c r="G26" s="106">
        <f t="shared" si="3"/>
        <v>4.2398113288418591</v>
      </c>
      <c r="H26" s="144">
        <f t="shared" si="4"/>
        <v>1</v>
      </c>
      <c r="I26" s="144">
        <f t="shared" si="5"/>
        <v>1</v>
      </c>
      <c r="J26" s="107">
        <f t="shared" si="6"/>
        <v>4.2398113288418591</v>
      </c>
      <c r="O26" s="145">
        <f t="shared" si="7"/>
        <v>19</v>
      </c>
      <c r="P26" s="145" t="str">
        <f t="shared" si="8"/>
        <v xml:space="preserve">FA n30:0 </v>
      </c>
      <c r="Q26" s="145">
        <f t="shared" si="9"/>
        <v>57.863970000000002</v>
      </c>
      <c r="R26" s="146">
        <f t="shared" si="10"/>
        <v>2.3024653136169464</v>
      </c>
      <c r="S26" s="145">
        <f t="shared" si="11"/>
        <v>2</v>
      </c>
    </row>
    <row r="27" spans="1:19">
      <c r="A27" s="22">
        <v>20</v>
      </c>
      <c r="B27" s="23" t="s">
        <v>192</v>
      </c>
      <c r="C27" s="24">
        <v>61.688229999999997</v>
      </c>
      <c r="D27" s="24">
        <v>0.72158</v>
      </c>
      <c r="E27" s="24">
        <v>2</v>
      </c>
      <c r="G27" s="106">
        <f t="shared" si="3"/>
        <v>0.90436641520411865</v>
      </c>
      <c r="H27" s="144">
        <f t="shared" si="4"/>
        <v>1</v>
      </c>
      <c r="I27" s="144">
        <f t="shared" si="5"/>
        <v>1</v>
      </c>
      <c r="J27" s="107">
        <f t="shared" si="6"/>
        <v>0.90436641520411865</v>
      </c>
      <c r="O27" s="145">
        <f t="shared" si="7"/>
        <v>20</v>
      </c>
      <c r="P27" s="145" t="str">
        <f t="shared" si="8"/>
        <v xml:space="preserve">FA n30:0 </v>
      </c>
      <c r="Q27" s="145">
        <f t="shared" si="9"/>
        <v>61.688229999999997</v>
      </c>
      <c r="R27" s="146">
        <f t="shared" si="10"/>
        <v>2.3024653136169464</v>
      </c>
      <c r="S27" s="145">
        <f t="shared" si="11"/>
        <v>2</v>
      </c>
    </row>
    <row r="28" spans="1:19">
      <c r="A28" s="22">
        <v>21</v>
      </c>
      <c r="B28" s="23" t="s">
        <v>192</v>
      </c>
      <c r="C28" s="24">
        <v>64.847750000000005</v>
      </c>
      <c r="D28" s="24">
        <v>4.5530499999999998</v>
      </c>
      <c r="E28" s="24">
        <v>3</v>
      </c>
      <c r="G28" s="106">
        <f t="shared" si="3"/>
        <v>5.1375667667442233</v>
      </c>
      <c r="H28" s="144">
        <f t="shared" si="4"/>
        <v>1</v>
      </c>
      <c r="I28" s="144">
        <f t="shared" si="5"/>
        <v>2</v>
      </c>
      <c r="J28" s="107">
        <f t="shared" si="6"/>
        <v>10.275133533488447</v>
      </c>
      <c r="O28" s="145">
        <f t="shared" si="7"/>
        <v>21</v>
      </c>
      <c r="P28" s="145" t="str">
        <f t="shared" si="8"/>
        <v xml:space="preserve">FA n30:0 </v>
      </c>
      <c r="Q28" s="145">
        <f t="shared" si="9"/>
        <v>64.847750000000005</v>
      </c>
      <c r="R28" s="146">
        <f t="shared" si="10"/>
        <v>2.3024653136169464</v>
      </c>
      <c r="S28" s="145">
        <f t="shared" si="11"/>
        <v>3</v>
      </c>
    </row>
    <row r="29" spans="1:19">
      <c r="A29" s="22">
        <v>22</v>
      </c>
      <c r="B29" s="23" t="s">
        <v>192</v>
      </c>
      <c r="C29" s="24">
        <v>64.835539999999995</v>
      </c>
      <c r="D29" s="24">
        <v>0.12681000000000001</v>
      </c>
      <c r="E29" s="24">
        <v>2</v>
      </c>
      <c r="G29" s="106">
        <f t="shared" si="3"/>
        <v>0.15893276575297857</v>
      </c>
      <c r="H29" s="144">
        <f t="shared" si="4"/>
        <v>1</v>
      </c>
      <c r="I29" s="144">
        <f t="shared" si="5"/>
        <v>1</v>
      </c>
      <c r="J29" s="107">
        <f t="shared" si="6"/>
        <v>0.15893276575297857</v>
      </c>
      <c r="O29" s="145">
        <f t="shared" si="7"/>
        <v>22</v>
      </c>
      <c r="P29" s="145" t="str">
        <f t="shared" si="8"/>
        <v xml:space="preserve">FA n30:0 </v>
      </c>
      <c r="Q29" s="145">
        <f t="shared" si="9"/>
        <v>64.835539999999995</v>
      </c>
      <c r="R29" s="146">
        <f t="shared" si="10"/>
        <v>2.3024653136169464</v>
      </c>
      <c r="S29" s="145">
        <f t="shared" si="11"/>
        <v>2</v>
      </c>
    </row>
    <row r="30" spans="1:19">
      <c r="A30" s="22">
        <v>23</v>
      </c>
      <c r="B30" s="23" t="s">
        <v>192</v>
      </c>
      <c r="C30" s="24">
        <v>61.212510000000002</v>
      </c>
      <c r="D30" s="24">
        <v>3.0001099999999998</v>
      </c>
      <c r="E30" s="24">
        <v>3</v>
      </c>
      <c r="G30" s="106">
        <f t="shared" si="3"/>
        <v>3.3852616229949177</v>
      </c>
      <c r="H30" s="144">
        <f t="shared" si="4"/>
        <v>1</v>
      </c>
      <c r="I30" s="144">
        <f t="shared" si="5"/>
        <v>2</v>
      </c>
      <c r="J30" s="107">
        <f t="shared" si="6"/>
        <v>6.7705232459898355</v>
      </c>
      <c r="O30" s="145">
        <f t="shared" si="7"/>
        <v>23</v>
      </c>
      <c r="P30" s="145" t="str">
        <f t="shared" si="8"/>
        <v xml:space="preserve">FA n30:0 </v>
      </c>
      <c r="Q30" s="145">
        <f t="shared" si="9"/>
        <v>61.212510000000002</v>
      </c>
      <c r="R30" s="146">
        <f t="shared" si="10"/>
        <v>2.3024653136169464</v>
      </c>
      <c r="S30" s="145">
        <f t="shared" si="11"/>
        <v>3</v>
      </c>
    </row>
    <row r="31" spans="1:19">
      <c r="A31" s="22">
        <v>24</v>
      </c>
      <c r="B31" s="23" t="s">
        <v>192</v>
      </c>
      <c r="C31" s="24">
        <v>53.193530000000003</v>
      </c>
      <c r="D31" s="24"/>
      <c r="E31" s="24">
        <v>1</v>
      </c>
      <c r="G31" s="106">
        <f t="shared" si="3"/>
        <v>0</v>
      </c>
      <c r="H31" s="144">
        <f t="shared" si="4"/>
        <v>0</v>
      </c>
      <c r="I31" s="144">
        <f t="shared" si="5"/>
        <v>0</v>
      </c>
      <c r="J31" s="107">
        <f t="shared" si="6"/>
        <v>0</v>
      </c>
      <c r="O31" s="145">
        <f t="shared" si="7"/>
        <v>24</v>
      </c>
      <c r="P31" s="145" t="str">
        <f t="shared" si="8"/>
        <v xml:space="preserve">FA n30:0 </v>
      </c>
      <c r="Q31" s="145">
        <f t="shared" si="9"/>
        <v>53.193530000000003</v>
      </c>
      <c r="R31" s="146">
        <f t="shared" si="10"/>
        <v>2.3024653136169464</v>
      </c>
      <c r="S31" s="145">
        <f t="shared" si="11"/>
        <v>1</v>
      </c>
    </row>
    <row r="32" spans="1:19">
      <c r="A32" s="22">
        <v>25</v>
      </c>
      <c r="B32" s="23" t="s">
        <v>192</v>
      </c>
      <c r="C32" s="24">
        <v>54.008780000000002</v>
      </c>
      <c r="D32" s="24">
        <v>0.19914999999999999</v>
      </c>
      <c r="E32" s="24">
        <v>2</v>
      </c>
      <c r="G32" s="106">
        <f t="shared" si="3"/>
        <v>0.24959751044638184</v>
      </c>
      <c r="H32" s="144">
        <f t="shared" si="4"/>
        <v>1</v>
      </c>
      <c r="I32" s="144">
        <f t="shared" si="5"/>
        <v>1</v>
      </c>
      <c r="J32" s="107">
        <f t="shared" si="6"/>
        <v>0.24959751044638184</v>
      </c>
      <c r="O32" s="145">
        <f t="shared" si="7"/>
        <v>25</v>
      </c>
      <c r="P32" s="145" t="str">
        <f t="shared" si="8"/>
        <v xml:space="preserve">FA n30:0 </v>
      </c>
      <c r="Q32" s="145">
        <f t="shared" si="9"/>
        <v>54.008780000000002</v>
      </c>
      <c r="R32" s="146">
        <f t="shared" si="10"/>
        <v>2.3024653136169464</v>
      </c>
      <c r="S32" s="145">
        <f t="shared" si="11"/>
        <v>2</v>
      </c>
    </row>
    <row r="33" spans="1:19">
      <c r="A33" s="22">
        <v>26</v>
      </c>
      <c r="B33" s="23" t="s">
        <v>192</v>
      </c>
      <c r="C33" s="24">
        <v>56.386940000000003</v>
      </c>
      <c r="D33" s="24">
        <v>2.7139799999999998</v>
      </c>
      <c r="E33" s="24">
        <v>2</v>
      </c>
      <c r="G33" s="106">
        <f t="shared" si="3"/>
        <v>3.4014695023915209</v>
      </c>
      <c r="H33" s="144">
        <f t="shared" si="4"/>
        <v>1</v>
      </c>
      <c r="I33" s="144">
        <f t="shared" si="5"/>
        <v>1</v>
      </c>
      <c r="J33" s="107">
        <f t="shared" si="6"/>
        <v>3.4014695023915209</v>
      </c>
      <c r="O33" s="145">
        <f t="shared" si="7"/>
        <v>26</v>
      </c>
      <c r="P33" s="145" t="str">
        <f t="shared" si="8"/>
        <v xml:space="preserve">FA n30:0 </v>
      </c>
      <c r="Q33" s="145">
        <f t="shared" si="9"/>
        <v>56.386940000000003</v>
      </c>
      <c r="R33" s="146">
        <f t="shared" si="10"/>
        <v>2.3024653136169464</v>
      </c>
      <c r="S33" s="145">
        <f t="shared" si="11"/>
        <v>2</v>
      </c>
    </row>
    <row r="34" spans="1:19">
      <c r="A34" s="22">
        <v>27</v>
      </c>
      <c r="B34" s="23" t="s">
        <v>192</v>
      </c>
      <c r="C34" s="24">
        <v>61.707810000000002</v>
      </c>
      <c r="D34" s="24">
        <v>0.26701999999999998</v>
      </c>
      <c r="E34" s="24">
        <v>2</v>
      </c>
      <c r="G34" s="106">
        <f t="shared" si="3"/>
        <v>0.33465994094598484</v>
      </c>
      <c r="H34" s="144">
        <f t="shared" si="4"/>
        <v>1</v>
      </c>
      <c r="I34" s="144">
        <f t="shared" si="5"/>
        <v>1</v>
      </c>
      <c r="J34" s="107">
        <f t="shared" si="6"/>
        <v>0.33465994094598484</v>
      </c>
      <c r="O34" s="145">
        <f t="shared" si="7"/>
        <v>27</v>
      </c>
      <c r="P34" s="145" t="str">
        <f t="shared" si="8"/>
        <v xml:space="preserve">FA n30:0 </v>
      </c>
      <c r="Q34" s="145">
        <f t="shared" si="9"/>
        <v>61.707810000000002</v>
      </c>
      <c r="R34" s="146">
        <f t="shared" si="10"/>
        <v>2.3024653136169464</v>
      </c>
      <c r="S34" s="145">
        <f t="shared" si="11"/>
        <v>2</v>
      </c>
    </row>
    <row r="35" spans="1:19">
      <c r="A35" s="22">
        <v>28</v>
      </c>
      <c r="B35" s="23" t="s">
        <v>192</v>
      </c>
      <c r="C35" s="24">
        <v>63.886420000000001</v>
      </c>
      <c r="D35" s="24">
        <v>2.27996</v>
      </c>
      <c r="E35" s="24">
        <v>2</v>
      </c>
      <c r="G35" s="106">
        <f t="shared" si="3"/>
        <v>2.8575061005138478</v>
      </c>
      <c r="H35" s="144">
        <f t="shared" si="4"/>
        <v>1</v>
      </c>
      <c r="I35" s="144">
        <f t="shared" si="5"/>
        <v>1</v>
      </c>
      <c r="J35" s="107">
        <f t="shared" si="6"/>
        <v>2.8575061005138478</v>
      </c>
      <c r="O35" s="145">
        <f t="shared" si="7"/>
        <v>28</v>
      </c>
      <c r="P35" s="145" t="str">
        <f t="shared" si="8"/>
        <v xml:space="preserve">FA n30:0 </v>
      </c>
      <c r="Q35" s="145">
        <f t="shared" si="9"/>
        <v>63.886420000000001</v>
      </c>
      <c r="R35" s="146">
        <f t="shared" si="10"/>
        <v>2.3024653136169464</v>
      </c>
      <c r="S35" s="145">
        <f t="shared" si="11"/>
        <v>2</v>
      </c>
    </row>
    <row r="36" spans="1:19">
      <c r="A36" s="22">
        <v>29</v>
      </c>
      <c r="B36" s="23" t="s">
        <v>192</v>
      </c>
      <c r="C36" s="24">
        <v>69.276750000000007</v>
      </c>
      <c r="D36" s="24">
        <v>0.20987</v>
      </c>
      <c r="E36" s="24">
        <v>2</v>
      </c>
      <c r="G36" s="106">
        <f t="shared" si="3"/>
        <v>0.263033037998404</v>
      </c>
      <c r="H36" s="144">
        <f t="shared" si="4"/>
        <v>1</v>
      </c>
      <c r="I36" s="144">
        <f t="shared" si="5"/>
        <v>1</v>
      </c>
      <c r="J36" s="107">
        <f t="shared" si="6"/>
        <v>0.263033037998404</v>
      </c>
      <c r="O36" s="145">
        <f t="shared" si="7"/>
        <v>29</v>
      </c>
      <c r="P36" s="145" t="str">
        <f t="shared" si="8"/>
        <v xml:space="preserve">FA n30:0 </v>
      </c>
      <c r="Q36" s="145">
        <f t="shared" si="9"/>
        <v>69.276750000000007</v>
      </c>
      <c r="R36" s="146">
        <f t="shared" si="10"/>
        <v>2.3024653136169464</v>
      </c>
      <c r="S36" s="145">
        <f t="shared" si="11"/>
        <v>2</v>
      </c>
    </row>
    <row r="37" spans="1:19">
      <c r="A37" s="22">
        <v>30</v>
      </c>
      <c r="B37" s="23" t="s">
        <v>192</v>
      </c>
      <c r="C37" s="24">
        <v>68.078509999999994</v>
      </c>
      <c r="D37" s="24">
        <v>1.34155</v>
      </c>
      <c r="E37" s="24">
        <v>4</v>
      </c>
      <c r="G37" s="106">
        <f t="shared" si="3"/>
        <v>1.4561208945789661</v>
      </c>
      <c r="H37" s="144">
        <f t="shared" si="4"/>
        <v>1</v>
      </c>
      <c r="I37" s="144">
        <f t="shared" si="5"/>
        <v>3</v>
      </c>
      <c r="J37" s="107">
        <f t="shared" si="6"/>
        <v>4.3683626837368985</v>
      </c>
      <c r="O37" s="145">
        <f t="shared" si="7"/>
        <v>30</v>
      </c>
      <c r="P37" s="145" t="str">
        <f t="shared" si="8"/>
        <v xml:space="preserve">FA n30:0 </v>
      </c>
      <c r="Q37" s="145">
        <f t="shared" si="9"/>
        <v>68.078509999999994</v>
      </c>
      <c r="R37" s="146">
        <f t="shared" si="10"/>
        <v>2.3024653136169464</v>
      </c>
      <c r="S37" s="145">
        <f t="shared" si="11"/>
        <v>4</v>
      </c>
    </row>
    <row r="38" spans="1:19">
      <c r="A38" s="22">
        <v>31</v>
      </c>
      <c r="B38" s="23" t="s">
        <v>192</v>
      </c>
      <c r="C38" s="24">
        <v>57.65558</v>
      </c>
      <c r="D38" s="24"/>
      <c r="E38" s="24">
        <v>1</v>
      </c>
      <c r="G38" s="106">
        <f t="shared" si="3"/>
        <v>0</v>
      </c>
      <c r="H38" s="144">
        <f t="shared" si="4"/>
        <v>0</v>
      </c>
      <c r="I38" s="144">
        <f t="shared" si="5"/>
        <v>0</v>
      </c>
      <c r="J38" s="107">
        <f t="shared" si="6"/>
        <v>0</v>
      </c>
      <c r="O38" s="145">
        <f t="shared" si="7"/>
        <v>31</v>
      </c>
      <c r="P38" s="145" t="str">
        <f t="shared" si="8"/>
        <v xml:space="preserve">FA n30:0 </v>
      </c>
      <c r="Q38" s="145">
        <f t="shared" si="9"/>
        <v>57.65558</v>
      </c>
      <c r="R38" s="146">
        <f t="shared" si="10"/>
        <v>2.3024653136169464</v>
      </c>
      <c r="S38" s="145">
        <f t="shared" si="11"/>
        <v>1</v>
      </c>
    </row>
    <row r="39" spans="1:19">
      <c r="A39" s="22">
        <v>32</v>
      </c>
      <c r="B39" s="23" t="s">
        <v>192</v>
      </c>
      <c r="C39" s="24">
        <v>65.017399999999995</v>
      </c>
      <c r="D39" s="24">
        <v>1.8611200000000001</v>
      </c>
      <c r="E39" s="24">
        <v>2</v>
      </c>
      <c r="G39" s="106">
        <f t="shared" si="3"/>
        <v>2.3325680072406239</v>
      </c>
      <c r="H39" s="144">
        <f t="shared" si="4"/>
        <v>1</v>
      </c>
      <c r="I39" s="144">
        <f t="shared" si="5"/>
        <v>1</v>
      </c>
      <c r="J39" s="107">
        <f t="shared" si="6"/>
        <v>2.3325680072406239</v>
      </c>
      <c r="O39" s="145">
        <f t="shared" si="7"/>
        <v>32</v>
      </c>
      <c r="P39" s="145" t="str">
        <f t="shared" si="8"/>
        <v xml:space="preserve">FA n30:0 </v>
      </c>
      <c r="Q39" s="145">
        <f t="shared" si="9"/>
        <v>65.017399999999995</v>
      </c>
      <c r="R39" s="146">
        <f t="shared" si="10"/>
        <v>2.3024653136169464</v>
      </c>
      <c r="S39" s="145">
        <f t="shared" si="11"/>
        <v>2</v>
      </c>
    </row>
    <row r="40" spans="1:19">
      <c r="A40" s="22">
        <v>33</v>
      </c>
      <c r="B40" s="23" t="s">
        <v>192</v>
      </c>
      <c r="C40" s="24">
        <v>56.796770000000002</v>
      </c>
      <c r="D40" s="24">
        <v>0.79481999999999997</v>
      </c>
      <c r="E40" s="24">
        <v>2</v>
      </c>
      <c r="G40" s="106">
        <f t="shared" si="3"/>
        <v>0.99615914262110583</v>
      </c>
      <c r="H40" s="144">
        <f t="shared" si="4"/>
        <v>1</v>
      </c>
      <c r="I40" s="144">
        <f t="shared" si="5"/>
        <v>1</v>
      </c>
      <c r="J40" s="107">
        <f t="shared" si="6"/>
        <v>0.99615914262110583</v>
      </c>
      <c r="O40" s="145">
        <f t="shared" si="7"/>
        <v>33</v>
      </c>
      <c r="P40" s="145" t="str">
        <f t="shared" si="8"/>
        <v xml:space="preserve">FA n30:0 </v>
      </c>
      <c r="Q40" s="145">
        <f t="shared" si="9"/>
        <v>56.796770000000002</v>
      </c>
      <c r="R40" s="146">
        <f t="shared" si="10"/>
        <v>2.3024653136169464</v>
      </c>
      <c r="S40" s="145">
        <f t="shared" si="11"/>
        <v>2</v>
      </c>
    </row>
    <row r="41" spans="1:19">
      <c r="A41" s="22">
        <v>34</v>
      </c>
      <c r="B41" s="23" t="s">
        <v>192</v>
      </c>
      <c r="C41" s="24">
        <v>58.098460000000003</v>
      </c>
      <c r="D41" s="24">
        <v>0.55423999999999995</v>
      </c>
      <c r="E41" s="24">
        <v>3</v>
      </c>
      <c r="G41" s="106">
        <f t="shared" si="3"/>
        <v>0.62539286957101681</v>
      </c>
      <c r="H41" s="144">
        <f t="shared" si="4"/>
        <v>1</v>
      </c>
      <c r="I41" s="144">
        <f t="shared" si="5"/>
        <v>2</v>
      </c>
      <c r="J41" s="107">
        <f t="shared" si="6"/>
        <v>1.2507857391420336</v>
      </c>
      <c r="O41" s="145">
        <f t="shared" si="7"/>
        <v>34</v>
      </c>
      <c r="P41" s="145" t="str">
        <f t="shared" si="8"/>
        <v xml:space="preserve">FA n30:0 </v>
      </c>
      <c r="Q41" s="145">
        <f t="shared" si="9"/>
        <v>58.098460000000003</v>
      </c>
      <c r="R41" s="146">
        <f t="shared" si="10"/>
        <v>2.3024653136169464</v>
      </c>
      <c r="S41" s="145">
        <f t="shared" si="11"/>
        <v>3</v>
      </c>
    </row>
    <row r="42" spans="1:19">
      <c r="A42" s="22">
        <v>35</v>
      </c>
      <c r="B42" s="23" t="s">
        <v>192</v>
      </c>
      <c r="C42" s="24">
        <v>58.970010000000002</v>
      </c>
      <c r="D42" s="24">
        <v>2.5510899999999999</v>
      </c>
      <c r="E42" s="24">
        <v>4</v>
      </c>
      <c r="G42" s="106">
        <f t="shared" si="3"/>
        <v>2.7689578867365765</v>
      </c>
      <c r="H42" s="144">
        <f t="shared" si="4"/>
        <v>1</v>
      </c>
      <c r="I42" s="144">
        <f t="shared" si="5"/>
        <v>3</v>
      </c>
      <c r="J42" s="107">
        <f t="shared" si="6"/>
        <v>8.3068736602097299</v>
      </c>
      <c r="O42" s="145">
        <f t="shared" si="7"/>
        <v>35</v>
      </c>
      <c r="P42" s="145" t="str">
        <f t="shared" si="8"/>
        <v xml:space="preserve">FA n30:0 </v>
      </c>
      <c r="Q42" s="145">
        <f t="shared" si="9"/>
        <v>58.970010000000002</v>
      </c>
      <c r="R42" s="146">
        <f t="shared" si="10"/>
        <v>2.3024653136169464</v>
      </c>
      <c r="S42" s="145">
        <f t="shared" si="11"/>
        <v>4</v>
      </c>
    </row>
    <row r="43" spans="1:19">
      <c r="A43" s="22">
        <v>36</v>
      </c>
      <c r="B43" s="23" t="s">
        <v>192</v>
      </c>
      <c r="C43" s="24">
        <v>56.88391</v>
      </c>
      <c r="D43" s="24">
        <v>1.0562800000000001</v>
      </c>
      <c r="E43" s="24">
        <v>3</v>
      </c>
      <c r="G43" s="106">
        <f t="shared" si="3"/>
        <v>1.191884346619648</v>
      </c>
      <c r="H43" s="144">
        <f t="shared" si="4"/>
        <v>1</v>
      </c>
      <c r="I43" s="144">
        <f t="shared" si="5"/>
        <v>2</v>
      </c>
      <c r="J43" s="107">
        <f t="shared" si="6"/>
        <v>2.3837686932392961</v>
      </c>
      <c r="O43" s="145">
        <f t="shared" si="7"/>
        <v>36</v>
      </c>
      <c r="P43" s="145" t="str">
        <f t="shared" si="8"/>
        <v xml:space="preserve">FA n30:0 </v>
      </c>
      <c r="Q43" s="145">
        <f t="shared" si="9"/>
        <v>56.88391</v>
      </c>
      <c r="R43" s="146">
        <f t="shared" si="10"/>
        <v>2.3024653136169464</v>
      </c>
      <c r="S43" s="145">
        <f t="shared" si="11"/>
        <v>3</v>
      </c>
    </row>
    <row r="44" spans="1:19">
      <c r="A44" s="22">
        <v>37</v>
      </c>
      <c r="B44" s="23" t="s">
        <v>192</v>
      </c>
      <c r="C44" s="24">
        <v>66.348569999999995</v>
      </c>
      <c r="D44" s="24">
        <v>0.26256000000000002</v>
      </c>
      <c r="E44" s="24">
        <v>2</v>
      </c>
      <c r="G44" s="106">
        <f t="shared" si="3"/>
        <v>0.32907015989355776</v>
      </c>
      <c r="H44" s="144">
        <f t="shared" si="4"/>
        <v>1</v>
      </c>
      <c r="I44" s="144">
        <f t="shared" si="5"/>
        <v>1</v>
      </c>
      <c r="J44" s="107">
        <f t="shared" si="6"/>
        <v>0.32907015989355776</v>
      </c>
      <c r="O44" s="145">
        <f t="shared" si="7"/>
        <v>37</v>
      </c>
      <c r="P44" s="145" t="str">
        <f t="shared" si="8"/>
        <v xml:space="preserve">FA n30:0 </v>
      </c>
      <c r="Q44" s="145">
        <f t="shared" si="9"/>
        <v>66.348569999999995</v>
      </c>
      <c r="R44" s="146">
        <f t="shared" si="10"/>
        <v>2.3024653136169464</v>
      </c>
      <c r="S44" s="145">
        <f t="shared" si="11"/>
        <v>2</v>
      </c>
    </row>
    <row r="45" spans="1:19">
      <c r="A45" s="22">
        <v>38</v>
      </c>
      <c r="B45" s="23" t="s">
        <v>192</v>
      </c>
      <c r="C45" s="24">
        <v>60.68544</v>
      </c>
      <c r="D45" s="24">
        <v>0.21076</v>
      </c>
      <c r="E45" s="24">
        <v>2</v>
      </c>
      <c r="G45" s="106">
        <f t="shared" si="3"/>
        <v>0.26414848758061482</v>
      </c>
      <c r="H45" s="144">
        <f t="shared" si="4"/>
        <v>1</v>
      </c>
      <c r="I45" s="144">
        <f t="shared" si="5"/>
        <v>1</v>
      </c>
      <c r="J45" s="107">
        <f t="shared" si="6"/>
        <v>0.26414848758061482</v>
      </c>
      <c r="O45" s="145">
        <f t="shared" si="7"/>
        <v>38</v>
      </c>
      <c r="P45" s="145" t="str">
        <f t="shared" si="8"/>
        <v xml:space="preserve">FA n30:0 </v>
      </c>
      <c r="Q45" s="145">
        <f t="shared" si="9"/>
        <v>60.68544</v>
      </c>
      <c r="R45" s="146">
        <f t="shared" si="10"/>
        <v>2.3024653136169464</v>
      </c>
      <c r="S45" s="145">
        <f t="shared" si="11"/>
        <v>2</v>
      </c>
    </row>
    <row r="46" spans="1:19">
      <c r="A46" s="22">
        <v>39</v>
      </c>
      <c r="B46" s="23" t="s">
        <v>192</v>
      </c>
      <c r="C46" s="24">
        <v>61.323230000000002</v>
      </c>
      <c r="D46" s="24">
        <v>0.68764999999999998</v>
      </c>
      <c r="E46" s="24">
        <v>2</v>
      </c>
      <c r="G46" s="106">
        <f t="shared" si="3"/>
        <v>0.86184146652500371</v>
      </c>
      <c r="H46" s="144">
        <f t="shared" si="4"/>
        <v>1</v>
      </c>
      <c r="I46" s="144">
        <f t="shared" si="5"/>
        <v>1</v>
      </c>
      <c r="J46" s="107">
        <f t="shared" si="6"/>
        <v>0.86184146652500371</v>
      </c>
      <c r="O46" s="145">
        <f t="shared" si="7"/>
        <v>39</v>
      </c>
      <c r="P46" s="145" t="str">
        <f t="shared" si="8"/>
        <v xml:space="preserve">FA n30:0 </v>
      </c>
      <c r="Q46" s="145">
        <f t="shared" si="9"/>
        <v>61.323230000000002</v>
      </c>
      <c r="R46" s="146">
        <f t="shared" si="10"/>
        <v>2.3024653136169464</v>
      </c>
      <c r="S46" s="145">
        <f t="shared" si="11"/>
        <v>2</v>
      </c>
    </row>
    <row r="47" spans="1:19">
      <c r="A47" s="22">
        <v>40</v>
      </c>
      <c r="B47" s="23" t="s">
        <v>192</v>
      </c>
      <c r="C47" s="24">
        <v>64.722499999999997</v>
      </c>
      <c r="D47" s="24">
        <v>1.0082500000000001</v>
      </c>
      <c r="E47" s="24">
        <v>2</v>
      </c>
      <c r="G47" s="106">
        <f t="shared" si="3"/>
        <v>1.2636539789483532</v>
      </c>
      <c r="H47" s="144">
        <f t="shared" si="4"/>
        <v>1</v>
      </c>
      <c r="I47" s="144">
        <f t="shared" si="5"/>
        <v>1</v>
      </c>
      <c r="J47" s="107">
        <f t="shared" si="6"/>
        <v>1.2636539789483532</v>
      </c>
      <c r="O47" s="145">
        <f t="shared" si="7"/>
        <v>40</v>
      </c>
      <c r="P47" s="145" t="str">
        <f t="shared" si="8"/>
        <v xml:space="preserve">FA n30:0 </v>
      </c>
      <c r="Q47" s="145">
        <f t="shared" si="9"/>
        <v>64.722499999999997</v>
      </c>
      <c r="R47" s="146">
        <f t="shared" si="10"/>
        <v>2.3024653136169464</v>
      </c>
      <c r="S47" s="145">
        <f t="shared" si="11"/>
        <v>2</v>
      </c>
    </row>
    <row r="48" spans="1:19">
      <c r="A48" s="22">
        <v>41</v>
      </c>
      <c r="B48" s="23" t="s">
        <v>192</v>
      </c>
      <c r="C48" s="24">
        <v>65.835380000000001</v>
      </c>
      <c r="D48" s="24">
        <v>2.0462099999999999</v>
      </c>
      <c r="E48" s="24">
        <v>3</v>
      </c>
      <c r="G48" s="106">
        <f t="shared" si="3"/>
        <v>2.3089007355025086</v>
      </c>
      <c r="H48" s="144">
        <f t="shared" si="4"/>
        <v>1</v>
      </c>
      <c r="I48" s="144">
        <f t="shared" si="5"/>
        <v>2</v>
      </c>
      <c r="J48" s="107">
        <f t="shared" si="6"/>
        <v>4.6178014710050173</v>
      </c>
      <c r="O48" s="145">
        <f t="shared" si="7"/>
        <v>41</v>
      </c>
      <c r="P48" s="145" t="str">
        <f t="shared" si="8"/>
        <v xml:space="preserve">FA n30:0 </v>
      </c>
      <c r="Q48" s="145">
        <f t="shared" si="9"/>
        <v>65.835380000000001</v>
      </c>
      <c r="R48" s="146">
        <f t="shared" si="10"/>
        <v>2.3024653136169464</v>
      </c>
      <c r="S48" s="145">
        <f t="shared" si="11"/>
        <v>3</v>
      </c>
    </row>
    <row r="49" spans="1:19">
      <c r="A49" s="22">
        <v>42</v>
      </c>
      <c r="B49" s="23" t="s">
        <v>192</v>
      </c>
      <c r="C49" s="24">
        <v>65.689300000000003</v>
      </c>
      <c r="D49" s="24"/>
      <c r="E49" s="24">
        <v>1</v>
      </c>
      <c r="G49" s="106">
        <f t="shared" si="3"/>
        <v>0</v>
      </c>
      <c r="H49" s="144">
        <f t="shared" si="4"/>
        <v>0</v>
      </c>
      <c r="I49" s="144">
        <f t="shared" si="5"/>
        <v>0</v>
      </c>
      <c r="J49" s="107">
        <f t="shared" si="6"/>
        <v>0</v>
      </c>
      <c r="O49" s="145">
        <f t="shared" si="7"/>
        <v>42</v>
      </c>
      <c r="P49" s="145" t="str">
        <f t="shared" si="8"/>
        <v xml:space="preserve">FA n30:0 </v>
      </c>
      <c r="Q49" s="145">
        <f t="shared" si="9"/>
        <v>65.689300000000003</v>
      </c>
      <c r="R49" s="146">
        <f t="shared" si="10"/>
        <v>2.3024653136169464</v>
      </c>
      <c r="S49" s="145">
        <f t="shared" si="11"/>
        <v>1</v>
      </c>
    </row>
    <row r="50" spans="1:19">
      <c r="A50" s="22">
        <v>43</v>
      </c>
      <c r="B50" s="23" t="s">
        <v>192</v>
      </c>
      <c r="C50" s="24">
        <v>67.06277</v>
      </c>
      <c r="D50" s="24">
        <v>0.71355000000000002</v>
      </c>
      <c r="E50" s="24">
        <v>2</v>
      </c>
      <c r="G50" s="106">
        <f t="shared" si="3"/>
        <v>0.89430230268147515</v>
      </c>
      <c r="H50" s="144">
        <f t="shared" si="4"/>
        <v>1</v>
      </c>
      <c r="I50" s="144">
        <f t="shared" si="5"/>
        <v>1</v>
      </c>
      <c r="J50" s="107">
        <f t="shared" si="6"/>
        <v>0.89430230268147515</v>
      </c>
      <c r="O50" s="145">
        <f t="shared" si="7"/>
        <v>43</v>
      </c>
      <c r="P50" s="145" t="str">
        <f t="shared" si="8"/>
        <v xml:space="preserve">FA n30:0 </v>
      </c>
      <c r="Q50" s="145">
        <f t="shared" si="9"/>
        <v>67.06277</v>
      </c>
      <c r="R50" s="146">
        <f t="shared" si="10"/>
        <v>2.3024653136169464</v>
      </c>
      <c r="S50" s="145">
        <f t="shared" si="11"/>
        <v>2</v>
      </c>
    </row>
    <row r="51" spans="1:19">
      <c r="A51" s="22">
        <v>44</v>
      </c>
      <c r="B51" s="23" t="s">
        <v>192</v>
      </c>
      <c r="C51" s="24">
        <v>68.893439999999998</v>
      </c>
      <c r="D51" s="24">
        <v>2.6970100000000001</v>
      </c>
      <c r="E51" s="24">
        <v>2</v>
      </c>
      <c r="G51" s="106">
        <f t="shared" si="3"/>
        <v>3.3802007614812775</v>
      </c>
      <c r="H51" s="144">
        <f t="shared" si="4"/>
        <v>1</v>
      </c>
      <c r="I51" s="144">
        <f t="shared" si="5"/>
        <v>1</v>
      </c>
      <c r="J51" s="107">
        <f t="shared" si="6"/>
        <v>3.3802007614812775</v>
      </c>
      <c r="O51" s="145">
        <f t="shared" si="7"/>
        <v>44</v>
      </c>
      <c r="P51" s="145" t="str">
        <f t="shared" si="8"/>
        <v xml:space="preserve">FA n30:0 </v>
      </c>
      <c r="Q51" s="145">
        <f t="shared" si="9"/>
        <v>68.893439999999998</v>
      </c>
      <c r="R51" s="146">
        <f t="shared" si="10"/>
        <v>2.3024653136169464</v>
      </c>
      <c r="S51" s="145">
        <f t="shared" si="11"/>
        <v>2</v>
      </c>
    </row>
    <row r="52" spans="1:19">
      <c r="A52" s="22">
        <v>45</v>
      </c>
      <c r="B52" s="23" t="s">
        <v>192</v>
      </c>
      <c r="C52" s="24">
        <v>69.499660000000006</v>
      </c>
      <c r="D52" s="24">
        <v>0.21432999999999999</v>
      </c>
      <c r="E52" s="24">
        <v>2</v>
      </c>
      <c r="G52" s="106">
        <f t="shared" si="3"/>
        <v>0.26862281905083113</v>
      </c>
      <c r="H52" s="144">
        <f t="shared" si="4"/>
        <v>1</v>
      </c>
      <c r="I52" s="144">
        <f t="shared" si="5"/>
        <v>1</v>
      </c>
      <c r="J52" s="107">
        <f t="shared" si="6"/>
        <v>0.26862281905083113</v>
      </c>
      <c r="O52" s="145">
        <f t="shared" si="7"/>
        <v>45</v>
      </c>
      <c r="P52" s="145" t="str">
        <f t="shared" si="8"/>
        <v xml:space="preserve">FA n30:0 </v>
      </c>
      <c r="Q52" s="145">
        <f t="shared" si="9"/>
        <v>69.499660000000006</v>
      </c>
      <c r="R52" s="146">
        <f t="shared" si="10"/>
        <v>2.3024653136169464</v>
      </c>
      <c r="S52" s="145">
        <f t="shared" si="11"/>
        <v>2</v>
      </c>
    </row>
    <row r="53" spans="1:19">
      <c r="A53" s="22">
        <v>46</v>
      </c>
      <c r="B53" s="23" t="s">
        <v>192</v>
      </c>
      <c r="C53" s="24">
        <v>84.966179999999994</v>
      </c>
      <c r="D53" s="24">
        <v>1.2764899999999999</v>
      </c>
      <c r="E53" s="24">
        <v>5</v>
      </c>
      <c r="G53" s="106">
        <f t="shared" si="3"/>
        <v>1.357988884025666</v>
      </c>
      <c r="H53" s="144">
        <f t="shared" si="4"/>
        <v>1</v>
      </c>
      <c r="I53" s="144">
        <f t="shared" si="5"/>
        <v>4</v>
      </c>
      <c r="J53" s="107">
        <f t="shared" si="6"/>
        <v>5.4319555361026639</v>
      </c>
      <c r="O53" s="145">
        <f t="shared" si="7"/>
        <v>46</v>
      </c>
      <c r="P53" s="145" t="str">
        <f t="shared" si="8"/>
        <v xml:space="preserve">FA n30:0 </v>
      </c>
      <c r="Q53" s="145">
        <f t="shared" si="9"/>
        <v>84.966179999999994</v>
      </c>
      <c r="R53" s="146">
        <f t="shared" si="10"/>
        <v>2.3024653136169464</v>
      </c>
      <c r="S53" s="145">
        <f t="shared" si="11"/>
        <v>5</v>
      </c>
    </row>
    <row r="54" spans="1:19">
      <c r="A54" s="22">
        <v>47</v>
      </c>
      <c r="B54" s="23" t="s">
        <v>192</v>
      </c>
      <c r="C54" s="24">
        <v>98.527640000000005</v>
      </c>
      <c r="D54" s="24"/>
      <c r="E54" s="24">
        <v>1</v>
      </c>
      <c r="G54" s="106">
        <f t="shared" si="3"/>
        <v>0</v>
      </c>
      <c r="H54" s="144">
        <f t="shared" si="4"/>
        <v>0</v>
      </c>
      <c r="I54" s="144">
        <f t="shared" si="5"/>
        <v>0</v>
      </c>
      <c r="J54" s="107">
        <f t="shared" si="6"/>
        <v>0</v>
      </c>
      <c r="O54" s="145">
        <f t="shared" si="7"/>
        <v>47</v>
      </c>
      <c r="P54" s="145" t="str">
        <f t="shared" si="8"/>
        <v xml:space="preserve">FA n30:0 </v>
      </c>
      <c r="Q54" s="145">
        <f t="shared" si="9"/>
        <v>98.527640000000005</v>
      </c>
      <c r="R54" s="146">
        <f t="shared" si="10"/>
        <v>2.3024653136169464</v>
      </c>
      <c r="S54" s="145">
        <f t="shared" si="11"/>
        <v>1</v>
      </c>
    </row>
    <row r="55" spans="1:19">
      <c r="A55" s="22">
        <v>48</v>
      </c>
      <c r="B55" s="23" t="s">
        <v>192</v>
      </c>
      <c r="C55" s="24">
        <v>97.492429999999999</v>
      </c>
      <c r="D55" s="24">
        <v>2.8605800000000001</v>
      </c>
      <c r="E55" s="24">
        <v>3</v>
      </c>
      <c r="G55" s="106">
        <f t="shared" si="3"/>
        <v>3.2278188778100811</v>
      </c>
      <c r="H55" s="144">
        <f t="shared" si="4"/>
        <v>1</v>
      </c>
      <c r="I55" s="144">
        <f t="shared" si="5"/>
        <v>2</v>
      </c>
      <c r="J55" s="107">
        <f t="shared" si="6"/>
        <v>6.4556377556201623</v>
      </c>
      <c r="O55" s="145">
        <f t="shared" si="7"/>
        <v>48</v>
      </c>
      <c r="P55" s="145" t="str">
        <f t="shared" si="8"/>
        <v xml:space="preserve">FA n30:0 </v>
      </c>
      <c r="Q55" s="145">
        <f t="shared" si="9"/>
        <v>97.492429999999999</v>
      </c>
      <c r="R55" s="146">
        <f t="shared" si="10"/>
        <v>2.3024653136169464</v>
      </c>
      <c r="S55" s="145">
        <f t="shared" si="11"/>
        <v>3</v>
      </c>
    </row>
    <row r="56" spans="1:19">
      <c r="A56" s="22">
        <v>49</v>
      </c>
      <c r="B56" s="23" t="s">
        <v>192</v>
      </c>
      <c r="C56" s="24">
        <v>81.530659999999997</v>
      </c>
      <c r="D56" s="24">
        <v>7.2587200000000003</v>
      </c>
      <c r="E56" s="24">
        <v>2</v>
      </c>
      <c r="G56" s="106">
        <f t="shared" si="3"/>
        <v>9.0974563948147686</v>
      </c>
      <c r="H56" s="144">
        <f t="shared" si="4"/>
        <v>1</v>
      </c>
      <c r="I56" s="144">
        <f t="shared" si="5"/>
        <v>1</v>
      </c>
      <c r="J56" s="107">
        <f t="shared" si="6"/>
        <v>9.0974563948147686</v>
      </c>
      <c r="O56" s="145">
        <f t="shared" si="7"/>
        <v>49</v>
      </c>
      <c r="P56" s="145" t="str">
        <f t="shared" si="8"/>
        <v xml:space="preserve">FA n30:0 </v>
      </c>
      <c r="Q56" s="145">
        <f t="shared" si="9"/>
        <v>81.530659999999997</v>
      </c>
      <c r="R56" s="146">
        <f t="shared" si="10"/>
        <v>2.3024653136169464</v>
      </c>
      <c r="S56" s="145">
        <f t="shared" si="11"/>
        <v>2</v>
      </c>
    </row>
    <row r="57" spans="1:19">
      <c r="A57" s="22">
        <v>50</v>
      </c>
      <c r="B57" s="23" t="s">
        <v>192</v>
      </c>
      <c r="C57" s="24">
        <v>82.894030000000001</v>
      </c>
      <c r="D57" s="24">
        <v>3.0712000000000002</v>
      </c>
      <c r="E57" s="24">
        <v>2</v>
      </c>
      <c r="G57" s="106">
        <f t="shared" si="3"/>
        <v>3.8491783785233644</v>
      </c>
      <c r="H57" s="144">
        <f t="shared" si="4"/>
        <v>1</v>
      </c>
      <c r="I57" s="144">
        <f t="shared" si="5"/>
        <v>1</v>
      </c>
      <c r="J57" s="107">
        <f t="shared" si="6"/>
        <v>3.8491783785233644</v>
      </c>
      <c r="O57" s="145">
        <f t="shared" si="7"/>
        <v>50</v>
      </c>
      <c r="P57" s="145" t="str">
        <f t="shared" si="8"/>
        <v xml:space="preserve">FA n30:0 </v>
      </c>
      <c r="Q57" s="145">
        <f t="shared" si="9"/>
        <v>82.894030000000001</v>
      </c>
      <c r="R57" s="146">
        <f t="shared" si="10"/>
        <v>2.3024653136169464</v>
      </c>
      <c r="S57" s="145">
        <f t="shared" si="11"/>
        <v>2</v>
      </c>
    </row>
    <row r="58" spans="1:19">
      <c r="A58" s="25"/>
      <c r="B58" s="24"/>
      <c r="C58" s="24"/>
      <c r="D58" s="60"/>
      <c r="E58" s="64"/>
    </row>
    <row r="59" spans="1:19">
      <c r="A59" s="22"/>
      <c r="B59" s="23"/>
      <c r="C59" s="24"/>
      <c r="D59" s="60"/>
      <c r="E59" s="64"/>
    </row>
    <row r="60" spans="1:19">
      <c r="A60" s="22"/>
      <c r="B60" s="23"/>
      <c r="C60" s="24"/>
      <c r="D60" s="60"/>
      <c r="E60" s="64"/>
    </row>
    <row r="61" spans="1:19">
      <c r="A61" s="22"/>
      <c r="B61" s="23"/>
      <c r="C61" s="24"/>
      <c r="D61" s="60"/>
      <c r="E61" s="64"/>
    </row>
    <row r="62" spans="1:19">
      <c r="A62" s="22"/>
      <c r="B62" s="23"/>
      <c r="C62" s="24"/>
      <c r="D62" s="60"/>
      <c r="E62" s="64"/>
    </row>
    <row r="63" spans="1:19">
      <c r="A63" s="22"/>
      <c r="B63" s="23"/>
      <c r="C63" s="24"/>
      <c r="D63" s="60"/>
      <c r="E63" s="64"/>
    </row>
    <row r="64" spans="1:19">
      <c r="A64" s="22"/>
      <c r="B64" s="23"/>
      <c r="C64" s="24"/>
      <c r="D64" s="60"/>
      <c r="E64" s="64"/>
    </row>
    <row r="65" spans="1:5">
      <c r="A65" s="22"/>
      <c r="B65" s="23"/>
      <c r="C65" s="24"/>
      <c r="D65" s="60"/>
      <c r="E65" s="64"/>
    </row>
    <row r="66" spans="1:5">
      <c r="A66" s="22"/>
      <c r="B66" s="23"/>
      <c r="C66" s="24"/>
      <c r="D66" s="60"/>
      <c r="E66" s="64"/>
    </row>
    <row r="67" spans="1:5">
      <c r="A67" s="22"/>
      <c r="B67" s="23"/>
      <c r="C67" s="24"/>
      <c r="D67" s="60"/>
      <c r="E67" s="64"/>
    </row>
    <row r="68" spans="1:5">
      <c r="A68" s="22"/>
      <c r="B68" s="23"/>
      <c r="C68" s="24"/>
      <c r="D68" s="60"/>
      <c r="E68" s="64"/>
    </row>
    <row r="69" spans="1:5">
      <c r="A69" s="22"/>
      <c r="B69" s="23"/>
      <c r="C69" s="24"/>
      <c r="D69" s="60"/>
      <c r="E69" s="64"/>
    </row>
    <row r="70" spans="1:5">
      <c r="A70" s="22"/>
      <c r="B70" s="23"/>
      <c r="C70" s="24"/>
      <c r="D70" s="60"/>
      <c r="E70" s="64"/>
    </row>
    <row r="71" spans="1:5">
      <c r="A71" s="22"/>
      <c r="B71" s="23"/>
      <c r="C71" s="24"/>
      <c r="D71" s="60"/>
      <c r="E71" s="64"/>
    </row>
    <row r="72" spans="1:5">
      <c r="A72" s="22"/>
      <c r="B72" s="23"/>
      <c r="C72" s="24"/>
      <c r="D72" s="60"/>
      <c r="E72" s="64"/>
    </row>
    <row r="73" spans="1:5">
      <c r="A73" s="22"/>
      <c r="B73" s="23"/>
      <c r="C73" s="24"/>
      <c r="D73" s="60"/>
      <c r="E73" s="64"/>
    </row>
    <row r="74" spans="1:5">
      <c r="A74" s="22"/>
      <c r="B74" s="23"/>
      <c r="C74" s="24"/>
      <c r="D74" s="60"/>
      <c r="E74" s="64"/>
    </row>
    <row r="75" spans="1:5">
      <c r="A75" s="22"/>
      <c r="B75" s="23"/>
      <c r="C75" s="24"/>
      <c r="D75" s="60"/>
      <c r="E75" s="64"/>
    </row>
    <row r="76" spans="1:5">
      <c r="A76" s="22"/>
      <c r="B76" s="23"/>
      <c r="C76" s="24"/>
      <c r="D76" s="60"/>
      <c r="E76" s="64"/>
    </row>
    <row r="77" spans="1:5">
      <c r="A77" s="22"/>
      <c r="B77" s="23"/>
      <c r="C77" s="24"/>
      <c r="D77" s="60"/>
      <c r="E77" s="64"/>
    </row>
    <row r="78" spans="1:5">
      <c r="A78" s="22"/>
      <c r="B78" s="23"/>
      <c r="C78" s="24"/>
      <c r="D78" s="60"/>
      <c r="E78" s="64"/>
    </row>
    <row r="79" spans="1:5">
      <c r="A79" s="22"/>
      <c r="B79" s="23"/>
      <c r="C79" s="24"/>
      <c r="D79" s="60"/>
      <c r="E79" s="64"/>
    </row>
    <row r="80" spans="1:5">
      <c r="A80" s="22"/>
      <c r="B80" s="23"/>
      <c r="C80" s="24"/>
      <c r="D80" s="60"/>
      <c r="E80" s="64"/>
    </row>
    <row r="81" spans="1:5">
      <c r="A81" s="22"/>
      <c r="B81" s="23"/>
      <c r="C81" s="24"/>
      <c r="D81" s="60"/>
      <c r="E81" s="64"/>
    </row>
    <row r="82" spans="1:5">
      <c r="A82" s="22"/>
      <c r="B82" s="23"/>
      <c r="C82" s="24"/>
      <c r="D82" s="60"/>
      <c r="E82" s="64"/>
    </row>
    <row r="83" spans="1:5">
      <c r="A83" s="22"/>
      <c r="B83" s="23"/>
      <c r="C83" s="24"/>
      <c r="D83" s="60"/>
      <c r="E83" s="64"/>
    </row>
    <row r="84" spans="1:5">
      <c r="A84" s="22"/>
      <c r="B84" s="23"/>
      <c r="C84" s="24"/>
      <c r="D84" s="60"/>
      <c r="E84" s="64"/>
    </row>
    <row r="85" spans="1:5">
      <c r="A85" s="22"/>
      <c r="B85" s="23"/>
      <c r="C85" s="24"/>
      <c r="D85" s="60"/>
      <c r="E85" s="64"/>
    </row>
    <row r="86" spans="1:5">
      <c r="A86" s="22"/>
      <c r="B86" s="23"/>
      <c r="C86" s="24"/>
      <c r="D86" s="60"/>
      <c r="E86" s="64"/>
    </row>
    <row r="87" spans="1:5">
      <c r="A87" s="22"/>
      <c r="B87" s="23"/>
      <c r="C87" s="24"/>
      <c r="D87" s="60"/>
      <c r="E87" s="64"/>
    </row>
    <row r="88" spans="1:5">
      <c r="A88" s="22"/>
      <c r="B88" s="23"/>
      <c r="C88" s="24"/>
      <c r="D88" s="60"/>
      <c r="E88" s="64"/>
    </row>
    <row r="89" spans="1:5">
      <c r="A89" s="22"/>
      <c r="B89" s="23"/>
      <c r="C89" s="24"/>
      <c r="D89" s="60"/>
      <c r="E89" s="64"/>
    </row>
    <row r="90" spans="1:5">
      <c r="A90" s="22"/>
      <c r="B90" s="23"/>
      <c r="C90" s="24"/>
      <c r="D90" s="60"/>
      <c r="E90" s="64"/>
    </row>
    <row r="91" spans="1:5">
      <c r="A91" s="22"/>
      <c r="B91" s="23"/>
      <c r="C91" s="24"/>
      <c r="D91" s="60"/>
      <c r="E91" s="64"/>
    </row>
    <row r="92" spans="1:5">
      <c r="A92" s="22"/>
      <c r="B92" s="23"/>
      <c r="C92" s="24"/>
      <c r="D92" s="60"/>
      <c r="E92" s="64"/>
    </row>
    <row r="93" spans="1:5">
      <c r="A93" s="22"/>
      <c r="B93" s="23"/>
      <c r="C93" s="24"/>
      <c r="D93" s="60"/>
      <c r="E93" s="64"/>
    </row>
    <row r="94" spans="1:5">
      <c r="A94" s="22"/>
      <c r="B94" s="23"/>
      <c r="C94" s="24"/>
      <c r="D94" s="60"/>
      <c r="E94" s="64"/>
    </row>
    <row r="95" spans="1:5">
      <c r="A95" s="22"/>
      <c r="B95" s="23"/>
      <c r="C95" s="24"/>
      <c r="D95" s="60"/>
      <c r="E95" s="64"/>
    </row>
    <row r="96" spans="1:5">
      <c r="A96" s="22"/>
      <c r="B96" s="23"/>
      <c r="C96" s="24"/>
      <c r="D96" s="60"/>
      <c r="E96" s="64"/>
    </row>
    <row r="97" spans="1:5">
      <c r="A97" s="22"/>
      <c r="B97" s="23"/>
      <c r="C97" s="24"/>
      <c r="D97" s="60"/>
      <c r="E97" s="64"/>
    </row>
    <row r="98" spans="1:5">
      <c r="A98" s="22"/>
      <c r="B98" s="23"/>
      <c r="C98" s="24"/>
      <c r="D98" s="60"/>
      <c r="E98" s="64"/>
    </row>
    <row r="99" spans="1:5">
      <c r="A99" s="22"/>
      <c r="B99" s="23"/>
      <c r="C99" s="24"/>
      <c r="D99" s="60"/>
      <c r="E99" s="64"/>
    </row>
    <row r="100" spans="1:5">
      <c r="A100" s="22"/>
      <c r="B100" s="23"/>
      <c r="C100" s="24"/>
      <c r="D100" s="60"/>
      <c r="E100" s="64"/>
    </row>
    <row r="101" spans="1:5">
      <c r="A101" s="22"/>
      <c r="B101" s="23"/>
      <c r="C101" s="24"/>
      <c r="D101" s="60"/>
      <c r="E101" s="64"/>
    </row>
    <row r="102" spans="1:5">
      <c r="A102" s="22"/>
      <c r="B102" s="23"/>
      <c r="C102" s="24"/>
      <c r="D102" s="60"/>
      <c r="E102" s="64"/>
    </row>
    <row r="103" spans="1:5">
      <c r="A103" s="22"/>
      <c r="B103" s="23"/>
      <c r="C103" s="24"/>
      <c r="D103" s="60"/>
      <c r="E103" s="64"/>
    </row>
    <row r="104" spans="1:5">
      <c r="A104" s="22"/>
      <c r="B104" s="23"/>
      <c r="C104" s="24"/>
      <c r="D104" s="60"/>
      <c r="E104" s="64"/>
    </row>
    <row r="105" spans="1:5">
      <c r="A105" s="22"/>
      <c r="B105" s="23"/>
      <c r="C105" s="24"/>
      <c r="D105" s="60"/>
      <c r="E105" s="64"/>
    </row>
    <row r="106" spans="1:5">
      <c r="A106" s="22"/>
      <c r="B106" s="23"/>
      <c r="C106" s="24"/>
      <c r="D106" s="60"/>
      <c r="E106" s="64"/>
    </row>
    <row r="107" spans="1:5">
      <c r="A107" s="22"/>
      <c r="B107" s="23"/>
      <c r="C107" s="24"/>
      <c r="D107" s="60"/>
      <c r="E107" s="64"/>
    </row>
    <row r="108" spans="1:5">
      <c r="A108" s="22"/>
      <c r="B108" s="23"/>
      <c r="C108" s="24"/>
      <c r="D108" s="60"/>
      <c r="E108" s="64"/>
    </row>
    <row r="109" spans="1:5">
      <c r="A109" s="25"/>
      <c r="B109" s="24"/>
      <c r="C109" s="24"/>
      <c r="D109" s="60"/>
      <c r="E109" s="64"/>
    </row>
    <row r="110" spans="1:5">
      <c r="A110" s="25"/>
      <c r="B110" s="23"/>
      <c r="C110" s="24"/>
      <c r="D110" s="60"/>
      <c r="E110" s="64"/>
    </row>
    <row r="111" spans="1:5">
      <c r="A111" s="25"/>
      <c r="B111" s="23"/>
      <c r="C111" s="24"/>
      <c r="D111" s="60"/>
      <c r="E111" s="64"/>
    </row>
    <row r="112" spans="1:5">
      <c r="A112" s="25"/>
      <c r="B112" s="23"/>
      <c r="C112" s="24"/>
      <c r="D112" s="60"/>
      <c r="E112" s="64"/>
    </row>
    <row r="113" spans="1:5">
      <c r="A113" s="25"/>
      <c r="B113" s="23"/>
      <c r="C113" s="24"/>
      <c r="D113" s="60"/>
      <c r="E113" s="64"/>
    </row>
    <row r="114" spans="1:5">
      <c r="A114" s="25"/>
      <c r="B114" s="23"/>
      <c r="C114" s="24"/>
      <c r="D114" s="60"/>
      <c r="E114" s="64"/>
    </row>
    <row r="115" spans="1:5">
      <c r="A115" s="25"/>
      <c r="B115" s="23"/>
      <c r="C115" s="24"/>
      <c r="D115" s="60"/>
      <c r="E115" s="64"/>
    </row>
    <row r="116" spans="1:5">
      <c r="A116" s="25"/>
      <c r="B116" s="23"/>
      <c r="C116" s="24"/>
      <c r="D116" s="60"/>
      <c r="E116" s="64"/>
    </row>
    <row r="117" spans="1:5">
      <c r="A117" s="25"/>
      <c r="B117" s="23"/>
      <c r="C117" s="24"/>
      <c r="D117" s="60"/>
      <c r="E117" s="64"/>
    </row>
    <row r="118" spans="1:5">
      <c r="A118" s="25"/>
      <c r="B118" s="23"/>
      <c r="C118" s="24"/>
      <c r="D118" s="60"/>
      <c r="E118" s="64"/>
    </row>
    <row r="119" spans="1:5">
      <c r="A119" s="25"/>
      <c r="B119" s="23"/>
      <c r="C119" s="24"/>
      <c r="D119" s="60"/>
      <c r="E119" s="64"/>
    </row>
    <row r="120" spans="1:5">
      <c r="A120" s="25"/>
      <c r="B120" s="23"/>
      <c r="C120" s="24"/>
      <c r="D120" s="60"/>
      <c r="E120" s="64"/>
    </row>
    <row r="121" spans="1:5">
      <c r="A121" s="25"/>
      <c r="B121" s="23"/>
      <c r="C121" s="24"/>
      <c r="D121" s="60"/>
      <c r="E121" s="64"/>
    </row>
    <row r="122" spans="1:5">
      <c r="A122" s="25"/>
      <c r="B122" s="23"/>
      <c r="C122" s="24"/>
      <c r="D122" s="60"/>
      <c r="E122" s="64"/>
    </row>
    <row r="123" spans="1:5">
      <c r="A123" s="25"/>
      <c r="B123" s="23"/>
      <c r="C123" s="24"/>
      <c r="D123" s="60"/>
      <c r="E123" s="64"/>
    </row>
    <row r="124" spans="1:5">
      <c r="A124" s="25"/>
      <c r="B124" s="23"/>
      <c r="C124" s="24"/>
      <c r="D124" s="60"/>
      <c r="E124" s="64"/>
    </row>
    <row r="125" spans="1:5">
      <c r="A125" s="25"/>
      <c r="B125" s="23"/>
      <c r="C125" s="24"/>
      <c r="D125" s="60"/>
      <c r="E125" s="64"/>
    </row>
    <row r="126" spans="1:5">
      <c r="A126" s="25"/>
      <c r="B126" s="23"/>
      <c r="C126" s="24"/>
      <c r="D126" s="60"/>
      <c r="E126" s="64"/>
    </row>
    <row r="127" spans="1:5">
      <c r="A127" s="25"/>
      <c r="B127" s="23"/>
      <c r="C127" s="24"/>
      <c r="D127" s="60"/>
      <c r="E127" s="64"/>
    </row>
    <row r="128" spans="1:5">
      <c r="A128" s="25"/>
      <c r="B128" s="23"/>
      <c r="C128" s="24"/>
      <c r="D128" s="60"/>
      <c r="E128" s="64"/>
    </row>
    <row r="129" spans="1:5">
      <c r="A129" s="25"/>
      <c r="B129" s="23"/>
      <c r="C129" s="24"/>
      <c r="D129" s="60"/>
      <c r="E129" s="64"/>
    </row>
    <row r="130" spans="1:5">
      <c r="A130" s="25"/>
      <c r="B130" s="23"/>
      <c r="C130" s="24"/>
      <c r="D130" s="60"/>
      <c r="E130" s="64"/>
    </row>
    <row r="131" spans="1:5">
      <c r="A131" s="25"/>
      <c r="B131" s="23"/>
      <c r="C131" s="24"/>
      <c r="D131" s="60"/>
      <c r="E131" s="64"/>
    </row>
    <row r="132" spans="1:5">
      <c r="A132" s="25"/>
      <c r="B132" s="23"/>
      <c r="C132" s="24"/>
      <c r="D132" s="60"/>
      <c r="E132" s="64"/>
    </row>
    <row r="133" spans="1:5">
      <c r="A133" s="25"/>
      <c r="B133" s="23"/>
      <c r="C133" s="24"/>
      <c r="D133" s="60"/>
      <c r="E133" s="64"/>
    </row>
    <row r="134" spans="1:5">
      <c r="A134" s="25"/>
      <c r="B134" s="23"/>
      <c r="C134" s="24"/>
      <c r="D134" s="60"/>
      <c r="E134" s="64"/>
    </row>
    <row r="135" spans="1:5">
      <c r="A135" s="25"/>
      <c r="B135" s="23"/>
      <c r="C135" s="24"/>
      <c r="D135" s="60"/>
      <c r="E135" s="64"/>
    </row>
    <row r="136" spans="1:5">
      <c r="A136" s="25"/>
      <c r="B136" s="23"/>
      <c r="C136" s="24"/>
      <c r="D136" s="60"/>
      <c r="E136" s="64"/>
    </row>
    <row r="137" spans="1:5">
      <c r="A137" s="25"/>
      <c r="B137" s="23"/>
      <c r="C137" s="24"/>
      <c r="D137" s="60"/>
      <c r="E137" s="64"/>
    </row>
    <row r="138" spans="1:5">
      <c r="A138" s="25"/>
      <c r="B138" s="23"/>
      <c r="C138" s="24"/>
      <c r="D138" s="60"/>
      <c r="E138" s="64"/>
    </row>
    <row r="139" spans="1:5">
      <c r="A139" s="25"/>
      <c r="B139" s="23"/>
      <c r="C139" s="24"/>
      <c r="D139" s="60"/>
      <c r="E139" s="64"/>
    </row>
    <row r="140" spans="1:5">
      <c r="A140" s="25"/>
      <c r="B140" s="23"/>
      <c r="C140" s="24"/>
      <c r="D140" s="60"/>
      <c r="E140" s="64"/>
    </row>
    <row r="141" spans="1:5">
      <c r="A141" s="25"/>
      <c r="B141" s="23"/>
      <c r="C141" s="24"/>
      <c r="D141" s="60"/>
      <c r="E141" s="64"/>
    </row>
    <row r="142" spans="1:5">
      <c r="A142" s="25"/>
      <c r="B142" s="23"/>
      <c r="C142" s="24"/>
      <c r="D142" s="60"/>
      <c r="E142" s="64"/>
    </row>
    <row r="143" spans="1:5">
      <c r="A143" s="25"/>
      <c r="B143" s="23"/>
      <c r="C143" s="24"/>
      <c r="D143" s="60"/>
      <c r="E143" s="64"/>
    </row>
    <row r="144" spans="1:5">
      <c r="A144" s="25"/>
      <c r="B144" s="23"/>
      <c r="C144" s="24"/>
      <c r="D144" s="60"/>
      <c r="E144" s="64"/>
    </row>
    <row r="145" spans="1:5">
      <c r="A145" s="25"/>
      <c r="B145" s="23"/>
      <c r="C145" s="24"/>
      <c r="D145" s="60"/>
      <c r="E145" s="64"/>
    </row>
    <row r="146" spans="1:5">
      <c r="A146" s="25"/>
      <c r="B146" s="23"/>
      <c r="C146" s="24"/>
      <c r="D146" s="60"/>
      <c r="E146" s="64"/>
    </row>
    <row r="147" spans="1:5">
      <c r="A147" s="25"/>
      <c r="B147" s="23"/>
      <c r="C147" s="24"/>
      <c r="D147" s="60"/>
      <c r="E147" s="64"/>
    </row>
    <row r="148" spans="1:5">
      <c r="A148" s="25"/>
      <c r="B148" s="23"/>
      <c r="C148" s="24"/>
      <c r="D148" s="60"/>
      <c r="E148" s="64"/>
    </row>
    <row r="149" spans="1:5">
      <c r="A149" s="25"/>
      <c r="B149" s="23"/>
      <c r="C149" s="24"/>
      <c r="D149" s="60"/>
      <c r="E149" s="64"/>
    </row>
    <row r="150" spans="1:5">
      <c r="A150" s="25"/>
      <c r="B150" s="23"/>
      <c r="C150" s="24"/>
      <c r="D150" s="60"/>
      <c r="E150" s="64"/>
    </row>
    <row r="151" spans="1:5">
      <c r="A151" s="25"/>
      <c r="B151" s="23"/>
      <c r="C151" s="24"/>
      <c r="D151" s="60"/>
      <c r="E151" s="64"/>
    </row>
    <row r="152" spans="1:5">
      <c r="A152" s="25"/>
      <c r="B152" s="23"/>
      <c r="C152" s="24"/>
      <c r="D152" s="60"/>
      <c r="E152" s="64"/>
    </row>
    <row r="153" spans="1:5">
      <c r="A153" s="25"/>
      <c r="B153" s="23"/>
      <c r="C153" s="24"/>
      <c r="D153" s="60"/>
      <c r="E153" s="64"/>
    </row>
    <row r="154" spans="1:5">
      <c r="A154" s="25"/>
      <c r="B154" s="23"/>
      <c r="C154" s="24"/>
      <c r="D154" s="60"/>
      <c r="E154" s="64"/>
    </row>
    <row r="155" spans="1:5">
      <c r="A155" s="25"/>
      <c r="B155" s="23"/>
      <c r="C155" s="24"/>
      <c r="D155" s="60"/>
      <c r="E155" s="64"/>
    </row>
    <row r="156" spans="1:5">
      <c r="A156" s="25"/>
      <c r="B156" s="23"/>
      <c r="C156" s="24"/>
      <c r="D156" s="60"/>
      <c r="E156" s="64"/>
    </row>
    <row r="157" spans="1:5">
      <c r="A157" s="25"/>
      <c r="B157" s="23"/>
      <c r="C157" s="24"/>
      <c r="D157" s="60"/>
      <c r="E157" s="64"/>
    </row>
    <row r="158" spans="1:5">
      <c r="A158" s="25"/>
      <c r="B158" s="23"/>
      <c r="C158" s="24"/>
      <c r="D158" s="60"/>
      <c r="E158" s="64"/>
    </row>
    <row r="159" spans="1:5">
      <c r="A159" s="25"/>
      <c r="B159" s="23"/>
      <c r="C159" s="24"/>
      <c r="D159" s="60"/>
      <c r="E159" s="64"/>
    </row>
    <row r="160" spans="1:5">
      <c r="A160" s="25"/>
      <c r="B160" s="24"/>
      <c r="C160" s="24"/>
      <c r="D160" s="60"/>
      <c r="E160" s="64"/>
    </row>
    <row r="161" spans="1:5">
      <c r="A161" s="25"/>
      <c r="B161" s="23"/>
      <c r="C161" s="24"/>
      <c r="D161" s="60"/>
      <c r="E161" s="64"/>
    </row>
    <row r="162" spans="1:5">
      <c r="A162" s="25"/>
      <c r="B162" s="23"/>
      <c r="C162" s="24"/>
      <c r="D162" s="60"/>
      <c r="E162" s="64"/>
    </row>
    <row r="163" spans="1:5">
      <c r="A163" s="25"/>
      <c r="B163" s="23"/>
      <c r="C163" s="24"/>
      <c r="D163" s="60"/>
      <c r="E163" s="64"/>
    </row>
    <row r="164" spans="1:5">
      <c r="A164" s="25"/>
      <c r="B164" s="23"/>
      <c r="C164" s="24"/>
      <c r="D164" s="60"/>
      <c r="E164" s="64"/>
    </row>
    <row r="165" spans="1:5">
      <c r="A165" s="25"/>
      <c r="B165" s="23"/>
      <c r="C165" s="24"/>
      <c r="D165" s="60"/>
      <c r="E165" s="64"/>
    </row>
    <row r="166" spans="1:5">
      <c r="A166" s="25"/>
      <c r="B166" s="23"/>
      <c r="C166" s="24"/>
      <c r="D166" s="60"/>
      <c r="E166" s="64"/>
    </row>
    <row r="167" spans="1:5">
      <c r="A167" s="25"/>
      <c r="B167" s="23"/>
      <c r="C167" s="24"/>
      <c r="D167" s="60"/>
      <c r="E167" s="64"/>
    </row>
    <row r="168" spans="1:5">
      <c r="A168" s="25"/>
      <c r="B168" s="23"/>
      <c r="C168" s="24"/>
      <c r="D168" s="60"/>
      <c r="E168" s="64"/>
    </row>
    <row r="169" spans="1:5">
      <c r="A169" s="25"/>
      <c r="B169" s="23"/>
      <c r="C169" s="24"/>
      <c r="D169" s="60"/>
      <c r="E169" s="64"/>
    </row>
    <row r="170" spans="1:5">
      <c r="A170" s="25"/>
      <c r="B170" s="23"/>
      <c r="C170" s="24"/>
      <c r="D170" s="60"/>
      <c r="E170" s="64"/>
    </row>
    <row r="171" spans="1:5">
      <c r="A171" s="25"/>
      <c r="B171" s="23"/>
      <c r="C171" s="24"/>
      <c r="D171" s="60"/>
      <c r="E171" s="64"/>
    </row>
    <row r="172" spans="1:5">
      <c r="A172" s="25"/>
      <c r="B172" s="23"/>
      <c r="C172" s="24"/>
      <c r="D172" s="60"/>
      <c r="E172" s="64"/>
    </row>
    <row r="173" spans="1:5">
      <c r="A173" s="25"/>
      <c r="B173" s="23"/>
      <c r="C173" s="24"/>
      <c r="D173" s="60"/>
      <c r="E173" s="64"/>
    </row>
    <row r="174" spans="1:5">
      <c r="A174" s="25"/>
      <c r="B174" s="23"/>
      <c r="C174" s="24"/>
      <c r="D174" s="60"/>
      <c r="E174" s="64"/>
    </row>
    <row r="175" spans="1:5">
      <c r="A175" s="25"/>
      <c r="B175" s="23"/>
      <c r="C175" s="24"/>
      <c r="D175" s="60"/>
      <c r="E175" s="64"/>
    </row>
    <row r="176" spans="1:5">
      <c r="A176" s="25"/>
      <c r="B176" s="23"/>
      <c r="C176" s="24"/>
      <c r="D176" s="60"/>
      <c r="E176" s="64"/>
    </row>
    <row r="177" spans="1:5">
      <c r="A177" s="25"/>
      <c r="B177" s="23"/>
      <c r="C177" s="24"/>
      <c r="D177" s="60"/>
      <c r="E177" s="64"/>
    </row>
    <row r="178" spans="1:5">
      <c r="A178" s="25"/>
      <c r="B178" s="23"/>
      <c r="C178" s="24"/>
      <c r="D178" s="60"/>
      <c r="E178" s="64"/>
    </row>
    <row r="179" spans="1:5">
      <c r="A179" s="25"/>
      <c r="B179" s="23"/>
      <c r="C179" s="24"/>
      <c r="D179" s="60"/>
      <c r="E179" s="64"/>
    </row>
    <row r="180" spans="1:5">
      <c r="A180" s="25"/>
      <c r="B180" s="23"/>
      <c r="C180" s="24"/>
      <c r="D180" s="60"/>
      <c r="E180" s="64"/>
    </row>
    <row r="181" spans="1:5">
      <c r="A181" s="25"/>
      <c r="B181" s="23"/>
      <c r="C181" s="24"/>
      <c r="D181" s="60"/>
      <c r="E181" s="64"/>
    </row>
    <row r="182" spans="1:5">
      <c r="A182" s="25"/>
      <c r="B182" s="23"/>
      <c r="C182" s="24"/>
      <c r="D182" s="60"/>
      <c r="E182" s="64"/>
    </row>
    <row r="183" spans="1:5">
      <c r="A183" s="25"/>
      <c r="B183" s="23"/>
      <c r="C183" s="24"/>
      <c r="D183" s="60"/>
      <c r="E183" s="64"/>
    </row>
    <row r="184" spans="1:5">
      <c r="A184" s="25"/>
      <c r="B184" s="23"/>
      <c r="C184" s="24"/>
      <c r="D184" s="60"/>
      <c r="E184" s="64"/>
    </row>
    <row r="185" spans="1:5">
      <c r="A185" s="25"/>
      <c r="B185" s="23"/>
      <c r="C185" s="24"/>
      <c r="D185" s="60"/>
      <c r="E185" s="64"/>
    </row>
    <row r="186" spans="1:5">
      <c r="A186" s="25"/>
      <c r="B186" s="23"/>
      <c r="C186" s="24"/>
      <c r="D186" s="60"/>
      <c r="E186" s="64"/>
    </row>
    <row r="187" spans="1:5">
      <c r="A187" s="25"/>
      <c r="B187" s="23"/>
      <c r="C187" s="24"/>
      <c r="D187" s="60"/>
      <c r="E187" s="64"/>
    </row>
    <row r="188" spans="1:5">
      <c r="A188" s="25"/>
      <c r="B188" s="23"/>
      <c r="C188" s="24"/>
      <c r="D188" s="60"/>
      <c r="E188" s="64"/>
    </row>
    <row r="189" spans="1:5">
      <c r="A189" s="25"/>
      <c r="B189" s="23"/>
      <c r="C189" s="24"/>
      <c r="D189" s="60"/>
      <c r="E189" s="64"/>
    </row>
    <row r="190" spans="1:5">
      <c r="A190" s="25"/>
      <c r="B190" s="23"/>
      <c r="C190" s="24"/>
      <c r="D190" s="60"/>
      <c r="E190" s="64"/>
    </row>
    <row r="191" spans="1:5">
      <c r="A191" s="25"/>
      <c r="B191" s="23"/>
      <c r="C191" s="24"/>
      <c r="D191" s="60"/>
      <c r="E191" s="64"/>
    </row>
    <row r="192" spans="1:5">
      <c r="A192" s="25"/>
      <c r="B192" s="23"/>
      <c r="C192" s="24"/>
      <c r="D192" s="60"/>
      <c r="E192" s="64"/>
    </row>
    <row r="193" spans="1:5">
      <c r="A193" s="25"/>
      <c r="B193" s="23"/>
      <c r="C193" s="24"/>
      <c r="D193" s="60"/>
      <c r="E193" s="64"/>
    </row>
    <row r="194" spans="1:5">
      <c r="A194" s="25"/>
      <c r="B194" s="23"/>
      <c r="C194" s="24"/>
      <c r="D194" s="60"/>
      <c r="E194" s="64"/>
    </row>
    <row r="195" spans="1:5">
      <c r="A195" s="25"/>
      <c r="B195" s="23"/>
      <c r="C195" s="24"/>
      <c r="D195" s="60"/>
      <c r="E195" s="64"/>
    </row>
    <row r="196" spans="1:5">
      <c r="A196" s="25"/>
      <c r="B196" s="23"/>
      <c r="C196" s="24"/>
      <c r="D196" s="60"/>
      <c r="E196" s="64"/>
    </row>
    <row r="197" spans="1:5">
      <c r="A197" s="25"/>
      <c r="B197" s="23"/>
      <c r="C197" s="24"/>
      <c r="D197" s="60"/>
      <c r="E197" s="64"/>
    </row>
    <row r="198" spans="1:5">
      <c r="A198" s="25"/>
      <c r="B198" s="23"/>
      <c r="C198" s="24"/>
      <c r="D198" s="60"/>
      <c r="E198" s="64"/>
    </row>
    <row r="199" spans="1:5">
      <c r="A199" s="25"/>
      <c r="B199" s="23"/>
      <c r="C199" s="24"/>
      <c r="D199" s="60"/>
      <c r="E199" s="64"/>
    </row>
    <row r="200" spans="1:5">
      <c r="A200" s="25"/>
      <c r="B200" s="23"/>
      <c r="C200" s="24"/>
      <c r="D200" s="60"/>
      <c r="E200" s="64"/>
    </row>
    <row r="201" spans="1:5">
      <c r="A201" s="25"/>
      <c r="B201" s="23"/>
      <c r="C201" s="24"/>
      <c r="D201" s="60"/>
      <c r="E201" s="64"/>
    </row>
    <row r="202" spans="1:5">
      <c r="A202" s="25"/>
      <c r="B202" s="23"/>
      <c r="C202" s="24"/>
      <c r="D202" s="60"/>
      <c r="E202" s="64"/>
    </row>
    <row r="203" spans="1:5">
      <c r="A203" s="25"/>
      <c r="B203" s="23"/>
      <c r="C203" s="24"/>
      <c r="D203" s="60"/>
      <c r="E203" s="64"/>
    </row>
    <row r="204" spans="1:5">
      <c r="A204" s="25"/>
      <c r="B204" s="23"/>
      <c r="C204" s="24"/>
      <c r="D204" s="60"/>
      <c r="E204" s="64"/>
    </row>
    <row r="205" spans="1:5">
      <c r="A205" s="25"/>
      <c r="B205" s="23"/>
      <c r="C205" s="24"/>
      <c r="D205" s="60"/>
      <c r="E205" s="64"/>
    </row>
    <row r="206" spans="1:5">
      <c r="A206" s="25"/>
      <c r="B206" s="23"/>
      <c r="C206" s="24"/>
      <c r="D206" s="60"/>
      <c r="E206" s="64"/>
    </row>
    <row r="207" spans="1:5">
      <c r="A207" s="25"/>
      <c r="B207" s="23"/>
      <c r="C207" s="24"/>
      <c r="D207" s="60"/>
      <c r="E207" s="64"/>
    </row>
    <row r="208" spans="1:5">
      <c r="A208" s="25"/>
      <c r="B208" s="23"/>
      <c r="C208" s="24"/>
      <c r="D208" s="60"/>
      <c r="E208" s="64"/>
    </row>
    <row r="209" spans="1:5">
      <c r="A209" s="25"/>
      <c r="B209" s="23"/>
      <c r="C209" s="24"/>
      <c r="D209" s="60"/>
      <c r="E209" s="64"/>
    </row>
    <row r="210" spans="1:5">
      <c r="A210" s="25"/>
      <c r="B210" s="23"/>
      <c r="C210" s="24"/>
      <c r="D210" s="60"/>
      <c r="E210" s="64"/>
    </row>
    <row r="211" spans="1:5">
      <c r="A211" s="25"/>
      <c r="B211" s="23"/>
      <c r="C211" s="24"/>
      <c r="D211" s="60"/>
      <c r="E211" s="64"/>
    </row>
    <row r="212" spans="1:5">
      <c r="A212" s="25"/>
      <c r="B212" s="23"/>
      <c r="C212" s="24"/>
      <c r="D212" s="60"/>
      <c r="E212" s="64"/>
    </row>
    <row r="213" spans="1:5">
      <c r="A213" s="25"/>
      <c r="B213" s="23"/>
      <c r="C213" s="24"/>
      <c r="D213" s="60"/>
      <c r="E213" s="64"/>
    </row>
    <row r="214" spans="1:5">
      <c r="A214" s="25"/>
      <c r="B214" s="23"/>
      <c r="C214" s="24"/>
      <c r="D214" s="60"/>
      <c r="E214" s="64"/>
    </row>
    <row r="215" spans="1:5">
      <c r="A215" s="25"/>
      <c r="B215" s="23"/>
      <c r="C215" s="24"/>
      <c r="D215" s="60"/>
      <c r="E215" s="64"/>
    </row>
    <row r="216" spans="1:5">
      <c r="A216" s="25"/>
      <c r="B216" s="23"/>
      <c r="C216" s="24"/>
      <c r="D216" s="60"/>
      <c r="E216" s="64"/>
    </row>
    <row r="217" spans="1:5">
      <c r="A217" s="25"/>
      <c r="B217" s="23"/>
      <c r="C217" s="24"/>
      <c r="D217" s="60"/>
      <c r="E217" s="64"/>
    </row>
    <row r="218" spans="1:5">
      <c r="A218" s="25"/>
      <c r="B218" s="23"/>
      <c r="C218" s="24"/>
      <c r="D218" s="60"/>
      <c r="E218" s="64"/>
    </row>
    <row r="219" spans="1:5">
      <c r="A219" s="25"/>
      <c r="B219" s="23"/>
      <c r="C219" s="24"/>
      <c r="D219" s="60"/>
      <c r="E219" s="64"/>
    </row>
    <row r="220" spans="1:5">
      <c r="A220" s="25"/>
      <c r="B220" s="23"/>
      <c r="C220" s="24"/>
      <c r="D220" s="60"/>
      <c r="E220" s="64"/>
    </row>
    <row r="221" spans="1:5">
      <c r="A221" s="25"/>
      <c r="B221" s="23"/>
      <c r="C221" s="24"/>
      <c r="D221" s="60"/>
      <c r="E221" s="64"/>
    </row>
    <row r="222" spans="1:5">
      <c r="A222" s="25"/>
      <c r="B222" s="23"/>
      <c r="C222" s="24"/>
      <c r="D222" s="60"/>
      <c r="E222" s="64"/>
    </row>
    <row r="223" spans="1:5">
      <c r="A223" s="25"/>
      <c r="B223" s="23"/>
      <c r="C223" s="24"/>
      <c r="D223" s="60"/>
      <c r="E223" s="64"/>
    </row>
    <row r="224" spans="1:5">
      <c r="A224" s="25"/>
      <c r="B224" s="23"/>
      <c r="C224" s="24"/>
      <c r="D224" s="60"/>
      <c r="E224" s="64"/>
    </row>
    <row r="225" spans="1:5">
      <c r="A225" s="25"/>
      <c r="B225" s="23"/>
      <c r="C225" s="24"/>
      <c r="D225" s="60"/>
      <c r="E225" s="64"/>
    </row>
    <row r="226" spans="1:5">
      <c r="A226" s="25"/>
      <c r="B226" s="23"/>
      <c r="C226" s="24"/>
      <c r="D226" s="60"/>
      <c r="E226" s="64"/>
    </row>
    <row r="227" spans="1:5">
      <c r="A227" s="25"/>
      <c r="B227" s="23"/>
      <c r="C227" s="24"/>
      <c r="D227" s="60"/>
      <c r="E227" s="64"/>
    </row>
    <row r="228" spans="1:5">
      <c r="A228" s="25"/>
      <c r="B228" s="23"/>
      <c r="C228" s="24"/>
      <c r="D228" s="60"/>
      <c r="E228" s="64"/>
    </row>
    <row r="229" spans="1:5">
      <c r="A229" s="25"/>
      <c r="B229" s="23"/>
      <c r="C229" s="24"/>
      <c r="D229" s="60"/>
      <c r="E229" s="64"/>
    </row>
    <row r="230" spans="1:5">
      <c r="A230" s="25"/>
      <c r="B230" s="23"/>
      <c r="C230" s="24"/>
      <c r="D230" s="60"/>
      <c r="E230" s="64"/>
    </row>
    <row r="231" spans="1:5">
      <c r="A231" s="25"/>
      <c r="B231" s="23"/>
      <c r="C231" s="24"/>
      <c r="D231" s="60"/>
      <c r="E231" s="64"/>
    </row>
    <row r="232" spans="1:5">
      <c r="A232" s="25"/>
      <c r="B232" s="23"/>
      <c r="C232" s="24"/>
      <c r="D232" s="60"/>
      <c r="E232" s="64"/>
    </row>
    <row r="233" spans="1:5">
      <c r="A233" s="25"/>
      <c r="B233" s="23"/>
      <c r="C233" s="24"/>
      <c r="D233" s="60"/>
      <c r="E233" s="64"/>
    </row>
    <row r="234" spans="1:5">
      <c r="A234" s="25"/>
      <c r="B234" s="23"/>
      <c r="C234" s="24"/>
      <c r="D234" s="60"/>
      <c r="E234" s="64"/>
    </row>
  </sheetData>
  <sheetProtection formatCells="0" insertRows="0" deleteRows="0"/>
  <mergeCells count="2">
    <mergeCell ref="D2:E2"/>
    <mergeCell ref="G2:J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BC212"/>
  <sheetViews>
    <sheetView zoomScale="75" zoomScaleNormal="75" zoomScalePageLayoutView="75" workbookViewId="0">
      <pane xSplit="2" ySplit="3" topLeftCell="C4" activePane="bottomRight" state="frozenSplit"/>
      <selection pane="topRight" activeCell="B1" sqref="B1"/>
      <selection pane="bottomLeft" activeCell="R4" sqref="R4"/>
      <selection pane="bottomRight" activeCell="M67" sqref="M67"/>
    </sheetView>
  </sheetViews>
  <sheetFormatPr defaultColWidth="10.875" defaultRowHeight="15.75"/>
  <cols>
    <col min="1" max="1" width="45.5" style="3" customWidth="1"/>
    <col min="2" max="2" width="11.375" style="3" customWidth="1"/>
    <col min="3" max="3" width="10.875" style="3"/>
    <col min="4" max="4" width="8" style="3" customWidth="1"/>
    <col min="5" max="5" width="5.875" style="3" customWidth="1"/>
    <col min="6" max="6" width="10.875" style="3"/>
    <col min="7" max="7" width="11.375" style="3" customWidth="1"/>
    <col min="8" max="8" width="10.875" style="3"/>
    <col min="9" max="9" width="8" style="3" customWidth="1"/>
    <col min="10" max="10" width="10.875" style="3" customWidth="1"/>
    <col min="11" max="11" width="8" style="3" customWidth="1"/>
    <col min="12" max="14" width="10.875" style="3"/>
    <col min="15" max="15" width="9.375" style="34" customWidth="1"/>
    <col min="16" max="16" width="3.375" style="8" customWidth="1"/>
    <col min="17" max="17" width="10.875" style="47"/>
    <col min="18" max="18" width="8.375" style="48" customWidth="1"/>
    <col min="19" max="19" width="10.875" style="48"/>
    <col min="20" max="20" width="8.375" style="48" customWidth="1"/>
    <col min="21" max="21" width="10.875" style="48"/>
    <col min="22" max="22" width="8.375" style="48" customWidth="1"/>
    <col min="23" max="23" width="10.875" style="44" customWidth="1"/>
    <col min="24" max="24" width="8.375" style="45" customWidth="1"/>
    <col min="25" max="25" width="10.875" style="46" customWidth="1"/>
    <col min="26" max="26" width="8.375" style="45" customWidth="1"/>
    <col min="27" max="27" width="3.375" customWidth="1"/>
    <col min="28" max="28" width="10.875" style="39"/>
    <col min="29" max="29" width="11"/>
    <col min="30" max="30" width="11.125" style="8" bestFit="1" customWidth="1"/>
    <col min="31" max="37" width="11"/>
    <col min="38" max="38" width="10.875" style="43"/>
    <col min="39" max="39" width="3.375" customWidth="1"/>
    <col min="40" max="40" width="10.875" style="39"/>
    <col min="41" max="41" width="9.625" customWidth="1"/>
    <col min="42" max="44" width="11"/>
    <col min="45" max="45" width="10.125" customWidth="1"/>
    <col min="46" max="48" width="11"/>
    <col min="49" max="49" width="12.125" style="43" bestFit="1" customWidth="1"/>
    <col min="50" max="50" width="3.375" customWidth="1"/>
    <col min="51" max="51" width="10.875" style="39"/>
    <col min="52" max="54" width="11"/>
    <col min="55" max="55" width="10.875" style="43"/>
    <col min="56" max="16384" width="10.875" style="3"/>
  </cols>
  <sheetData>
    <row r="1" spans="1:55">
      <c r="A1" s="5"/>
      <c r="Q1" s="71" t="s">
        <v>33</v>
      </c>
      <c r="R1" s="72"/>
      <c r="S1" s="72"/>
      <c r="T1" s="72"/>
      <c r="U1" s="72"/>
      <c r="V1" s="72"/>
      <c r="W1" s="73"/>
      <c r="X1" s="74"/>
      <c r="Y1" s="75"/>
      <c r="Z1" s="74"/>
      <c r="AB1" s="36" t="s">
        <v>33</v>
      </c>
      <c r="AC1" s="10"/>
      <c r="AD1" s="10"/>
      <c r="AE1" s="10"/>
      <c r="AF1" s="10"/>
      <c r="AG1" s="10"/>
      <c r="AH1" s="10"/>
      <c r="AI1" s="10"/>
      <c r="AJ1" s="10"/>
      <c r="AK1" s="10"/>
      <c r="AL1" s="40"/>
      <c r="AN1" s="36" t="s">
        <v>33</v>
      </c>
      <c r="AO1" s="10"/>
      <c r="AP1" s="10"/>
      <c r="AQ1" s="10"/>
      <c r="AR1" s="10"/>
      <c r="AS1" s="10"/>
      <c r="AT1" s="10"/>
      <c r="AU1" s="10"/>
      <c r="AV1" s="10"/>
      <c r="AW1" s="40"/>
      <c r="AY1" s="36" t="s">
        <v>33</v>
      </c>
      <c r="AZ1" s="10"/>
      <c r="BA1" s="10"/>
      <c r="BB1" s="10"/>
      <c r="BC1" s="40"/>
    </row>
    <row r="2" spans="1:55">
      <c r="C2" s="209" t="s">
        <v>30</v>
      </c>
      <c r="D2" s="209"/>
      <c r="E2" s="209"/>
      <c r="F2" s="209"/>
      <c r="G2" s="209"/>
      <c r="H2" s="209"/>
      <c r="I2" s="209"/>
      <c r="J2" s="209"/>
      <c r="K2" s="209"/>
      <c r="L2" s="209"/>
      <c r="M2" s="209"/>
      <c r="N2" s="209"/>
      <c r="O2" s="209"/>
      <c r="Q2" s="216" t="s">
        <v>37</v>
      </c>
      <c r="R2" s="217"/>
      <c r="S2" s="217"/>
      <c r="T2" s="217"/>
      <c r="U2" s="217"/>
      <c r="V2" s="217"/>
      <c r="W2" s="217"/>
      <c r="X2" s="217"/>
      <c r="Y2" s="217"/>
      <c r="Z2" s="218"/>
      <c r="AB2" s="213" t="s">
        <v>34</v>
      </c>
      <c r="AC2" s="214"/>
      <c r="AD2" s="214"/>
      <c r="AE2" s="214"/>
      <c r="AF2" s="214"/>
      <c r="AG2" s="214"/>
      <c r="AH2" s="214"/>
      <c r="AI2" s="214"/>
      <c r="AJ2" s="214"/>
      <c r="AK2" s="214"/>
      <c r="AL2" s="215"/>
      <c r="AN2" s="210" t="s">
        <v>32</v>
      </c>
      <c r="AO2" s="211"/>
      <c r="AP2" s="211"/>
      <c r="AQ2" s="211"/>
      <c r="AR2" s="211"/>
      <c r="AS2" s="211"/>
      <c r="AT2" s="211"/>
      <c r="AU2" s="211"/>
      <c r="AV2" s="211"/>
      <c r="AW2" s="212"/>
      <c r="AX2" s="67"/>
      <c r="AY2" s="210" t="s">
        <v>32</v>
      </c>
      <c r="AZ2" s="211"/>
      <c r="BA2" s="211"/>
      <c r="BB2" s="211"/>
      <c r="BC2" s="212"/>
    </row>
    <row r="3" spans="1:55" s="4" customFormat="1" ht="63">
      <c r="A3" s="4" t="s">
        <v>0</v>
      </c>
      <c r="B3" s="4" t="s">
        <v>73</v>
      </c>
      <c r="C3" s="6" t="s">
        <v>63</v>
      </c>
      <c r="D3" s="6" t="s">
        <v>130</v>
      </c>
      <c r="E3" s="6" t="s">
        <v>80</v>
      </c>
      <c r="F3" s="6" t="s">
        <v>6</v>
      </c>
      <c r="G3" s="6" t="s">
        <v>81</v>
      </c>
      <c r="H3" s="6" t="s">
        <v>7</v>
      </c>
      <c r="I3" s="6" t="s">
        <v>136</v>
      </c>
      <c r="J3" s="6" t="s">
        <v>8</v>
      </c>
      <c r="K3" s="6" t="s">
        <v>137</v>
      </c>
      <c r="L3" s="6" t="s">
        <v>70</v>
      </c>
      <c r="M3" s="6" t="s">
        <v>71</v>
      </c>
      <c r="N3" s="6" t="s">
        <v>72</v>
      </c>
      <c r="O3" s="35" t="s">
        <v>82</v>
      </c>
      <c r="P3" s="9"/>
      <c r="Q3" s="76" t="s">
        <v>9</v>
      </c>
      <c r="R3" s="77" t="s">
        <v>139</v>
      </c>
      <c r="S3" s="77" t="s">
        <v>10</v>
      </c>
      <c r="T3" s="77" t="s">
        <v>140</v>
      </c>
      <c r="U3" s="77" t="s">
        <v>11</v>
      </c>
      <c r="V3" s="78" t="s">
        <v>141</v>
      </c>
      <c r="W3" s="79" t="s">
        <v>4</v>
      </c>
      <c r="X3" s="80" t="s">
        <v>79</v>
      </c>
      <c r="Y3" s="81" t="s">
        <v>28</v>
      </c>
      <c r="Z3" s="80" t="s">
        <v>29</v>
      </c>
      <c r="AA3" s="9"/>
      <c r="AB3" s="37" t="s">
        <v>5</v>
      </c>
      <c r="AC3" s="11" t="s">
        <v>18</v>
      </c>
      <c r="AD3" s="11" t="s">
        <v>138</v>
      </c>
      <c r="AE3" s="11" t="s">
        <v>6</v>
      </c>
      <c r="AF3" s="11" t="s">
        <v>19</v>
      </c>
      <c r="AG3" s="11" t="s">
        <v>7</v>
      </c>
      <c r="AH3" s="11" t="s">
        <v>20</v>
      </c>
      <c r="AI3" s="11" t="s">
        <v>8</v>
      </c>
      <c r="AJ3" s="11" t="s">
        <v>21</v>
      </c>
      <c r="AK3" s="11" t="s">
        <v>26</v>
      </c>
      <c r="AL3" s="41" t="s">
        <v>27</v>
      </c>
      <c r="AM3" s="9"/>
      <c r="AN3" s="68" t="s">
        <v>9</v>
      </c>
      <c r="AO3" s="69" t="s">
        <v>23</v>
      </c>
      <c r="AP3" s="69" t="s">
        <v>10</v>
      </c>
      <c r="AQ3" s="69" t="s">
        <v>24</v>
      </c>
      <c r="AR3" s="69" t="s">
        <v>11</v>
      </c>
      <c r="AS3" s="69" t="s">
        <v>25</v>
      </c>
      <c r="AT3" s="69" t="s">
        <v>4</v>
      </c>
      <c r="AU3" s="69" t="s">
        <v>22</v>
      </c>
      <c r="AV3" s="69" t="s">
        <v>28</v>
      </c>
      <c r="AW3" s="70" t="s">
        <v>29</v>
      </c>
      <c r="AX3" s="65"/>
      <c r="AY3" s="66" t="s">
        <v>3</v>
      </c>
      <c r="AZ3" s="69" t="s">
        <v>12</v>
      </c>
      <c r="BA3" s="69" t="s">
        <v>13</v>
      </c>
      <c r="BB3" s="69" t="s">
        <v>14</v>
      </c>
      <c r="BC3" s="70" t="s">
        <v>15</v>
      </c>
    </row>
    <row r="4" spans="1:55" ht="31.5">
      <c r="A4" s="27" t="s">
        <v>59</v>
      </c>
      <c r="C4" s="3">
        <v>50</v>
      </c>
      <c r="D4" s="3">
        <v>2.5</v>
      </c>
      <c r="E4" s="3">
        <v>2</v>
      </c>
      <c r="F4" s="7">
        <v>-200</v>
      </c>
      <c r="G4" s="3">
        <v>2</v>
      </c>
      <c r="H4" s="3">
        <v>92</v>
      </c>
      <c r="I4" s="3">
        <v>1</v>
      </c>
      <c r="J4" s="3">
        <v>-115</v>
      </c>
      <c r="K4" s="3">
        <f>2/SQRT(5)</f>
        <v>0.89442719099991586</v>
      </c>
      <c r="L4" s="3">
        <f>(16*2+2-3)/(16*2+2)</f>
        <v>0.91176470588235292</v>
      </c>
      <c r="M4" s="3">
        <f t="shared" ref="M4:M6" si="0">4/(4+6)</f>
        <v>0.4</v>
      </c>
      <c r="N4" s="151"/>
      <c r="O4" s="150"/>
      <c r="Q4" s="47">
        <f t="shared" ref="Q4:Q7" si="1">IF($C4="","n/a",AN4*1000)</f>
        <v>-160.00000000000003</v>
      </c>
      <c r="R4" s="48">
        <f t="shared" ref="R4:R7" si="2">IF($C4="","n/a",AO4*1000)</f>
        <v>2.5317977802344327</v>
      </c>
      <c r="S4" s="48">
        <f t="shared" ref="S4:V7" si="3">IF($L4=1,"n/a",AP4*1000)</f>
        <v>-126.4</v>
      </c>
      <c r="T4" s="48">
        <f t="shared" si="3"/>
        <v>2.3259097144988239</v>
      </c>
      <c r="U4" s="48">
        <f t="shared" si="3"/>
        <v>-134</v>
      </c>
      <c r="V4" s="48">
        <f t="shared" si="3"/>
        <v>3.9221082765947877</v>
      </c>
      <c r="W4" s="44">
        <f t="shared" ref="W4:Z7" si="4">IF($C4="","n/a",AT4*1000)</f>
        <v>-162.51612903225811</v>
      </c>
      <c r="X4" s="45">
        <f t="shared" si="4"/>
        <v>2.4964137440908596</v>
      </c>
      <c r="Y4" s="46">
        <f t="shared" si="4"/>
        <v>-162.51612903225811</v>
      </c>
      <c r="Z4" s="45">
        <f t="shared" si="4"/>
        <v>2.4964137440908596</v>
      </c>
      <c r="AB4" s="38">
        <f>C4/1000</f>
        <v>0.05</v>
      </c>
      <c r="AC4" s="12">
        <f>D4/1000</f>
        <v>2.5000000000000001E-3</v>
      </c>
      <c r="AD4" s="12">
        <f>AC4/IF(E4&lt;200,IF(E4&gt;1,SQRT(2/(E4-1))*EXP(_xlfn.GAMMALN.PRECISE(E4/2))/EXP(_xlfn.GAMMALN.PRECISE((E4-1)/2)),1),1)</f>
        <v>3.1332853432887507E-3</v>
      </c>
      <c r="AE4" s="12">
        <f t="shared" ref="AE4:AJ7" si="5">F4/1000</f>
        <v>-0.2</v>
      </c>
      <c r="AF4" s="12">
        <f t="shared" si="5"/>
        <v>2E-3</v>
      </c>
      <c r="AG4" s="12">
        <f t="shared" si="5"/>
        <v>9.1999999999999998E-2</v>
      </c>
      <c r="AH4" s="12">
        <f t="shared" si="5"/>
        <v>1E-3</v>
      </c>
      <c r="AI4" s="12">
        <f t="shared" si="5"/>
        <v>-0.115</v>
      </c>
      <c r="AJ4" s="12">
        <f t="shared" si="5"/>
        <v>8.9442719099991591E-4</v>
      </c>
      <c r="AK4" s="12">
        <f t="shared" ref="AK4:AL7" si="6">N4/1000</f>
        <v>0</v>
      </c>
      <c r="AL4" s="42">
        <f t="shared" si="6"/>
        <v>0</v>
      </c>
      <c r="AN4" s="38">
        <f>(AB4+AE4+AB4*AE4)</f>
        <v>-0.16000000000000003</v>
      </c>
      <c r="AO4" s="12">
        <f>SQRT(((1+AE4)*AC4/SQRT(E4))^2+((1+AB4)*AF4)^2)</f>
        <v>2.5317977802344327E-3</v>
      </c>
      <c r="AP4" s="12">
        <f>(AG4+AE4+AG4*AE4)</f>
        <v>-0.12640000000000001</v>
      </c>
      <c r="AQ4" s="12">
        <f>SQRT((AH4*(1+AE4))^2 + (AF4*(1+AG4))^2)</f>
        <v>2.325909714498824E-3</v>
      </c>
      <c r="AR4" s="12">
        <f>(1/(1-M4))*(AG4+AE4+AG4*AE4)-(M4/(1-M4))*(AI4)</f>
        <v>-0.13400000000000001</v>
      </c>
      <c r="AS4" s="12">
        <f>SQRT((AQ4*(1/(1-M4)))^2 + (AJ4*(-M4/(1-M4)))^2)</f>
        <v>3.9221082765947875E-3</v>
      </c>
      <c r="AT4" s="12">
        <f>(1/L4)*(AB4+AE4+AB4*AE4) - ((1-L4)/L4)*((1/(1-M4))*(AG4+AE4+AG4*AE4)-(M4/(1-M4))*(AI4))</f>
        <v>-0.16251612903225809</v>
      </c>
      <c r="AU4" s="12">
        <f>SQRT((AZ4*AC4/SQRT(E4))^2 + (BA4*AF4)^2 + (BB4*AH4)^2 + (BC4*AJ4)^2)</f>
        <v>2.4964137440908595E-3</v>
      </c>
      <c r="AV4" s="12">
        <f>(AT4+1)/(AK4+1)-1</f>
        <v>-0.16251612903225809</v>
      </c>
      <c r="AW4" s="42">
        <f>SQRT((1/(AK4+1))^2*AU4^2+((-(AT4+1))/(AK4+1)^2)^2*AL4^2)</f>
        <v>2.4964137440908595E-3</v>
      </c>
      <c r="AY4" s="38"/>
      <c r="AZ4" s="12">
        <f>(1/L4)*(1+AE4)</f>
        <v>0.8774193548387097</v>
      </c>
      <c r="BA4" s="12">
        <f>(1/L4)*(1+AB4) - ((1-L4)/(L4*(1-M4)))*(1+AG4)</f>
        <v>0.97548387096774181</v>
      </c>
      <c r="BB4" s="12">
        <f>-((1-L4)/(L4*(1-M4))) * (1+AE4)</f>
        <v>-0.12903225806451618</v>
      </c>
      <c r="BC4" s="42">
        <f>((1-L4)*M4)/(L4*(1-M4))</f>
        <v>6.4516129032258077E-2</v>
      </c>
    </row>
    <row r="5" spans="1:55" ht="31.5">
      <c r="A5" s="27" t="s">
        <v>60</v>
      </c>
      <c r="C5" s="3">
        <v>50</v>
      </c>
      <c r="D5" s="3">
        <v>2.5</v>
      </c>
      <c r="E5" s="3">
        <v>3</v>
      </c>
      <c r="F5" s="7">
        <v>-200</v>
      </c>
      <c r="G5" s="3">
        <v>2</v>
      </c>
      <c r="H5" s="3">
        <v>92</v>
      </c>
      <c r="I5" s="3">
        <v>1</v>
      </c>
      <c r="J5" s="3">
        <v>-115</v>
      </c>
      <c r="K5" s="3">
        <f>2/SQRT(5)</f>
        <v>0.89442719099991586</v>
      </c>
      <c r="L5" s="3">
        <f>(30*2+2-3)/(30*2+2)</f>
        <v>0.95161290322580649</v>
      </c>
      <c r="M5" s="3">
        <f t="shared" si="0"/>
        <v>0.4</v>
      </c>
      <c r="N5" s="3">
        <v>-108.3</v>
      </c>
      <c r="O5" s="34">
        <v>24.9</v>
      </c>
      <c r="Q5" s="47">
        <f t="shared" si="1"/>
        <v>-160.00000000000003</v>
      </c>
      <c r="R5" s="48">
        <f t="shared" si="2"/>
        <v>2.3965252624024922</v>
      </c>
      <c r="S5" s="48">
        <f t="shared" si="3"/>
        <v>-126.4</v>
      </c>
      <c r="T5" s="48">
        <f t="shared" si="3"/>
        <v>2.3259097144988239</v>
      </c>
      <c r="U5" s="48">
        <f t="shared" si="3"/>
        <v>-134</v>
      </c>
      <c r="V5" s="48">
        <f t="shared" si="3"/>
        <v>3.9221082765947877</v>
      </c>
      <c r="W5" s="44">
        <f t="shared" si="4"/>
        <v>-161.32203389830511</v>
      </c>
      <c r="X5" s="45">
        <f t="shared" si="4"/>
        <v>2.3590548585653064</v>
      </c>
      <c r="Y5" s="46">
        <f t="shared" si="4"/>
        <v>-59.461740381636432</v>
      </c>
      <c r="Z5" s="45">
        <f t="shared" si="4"/>
        <v>26.396677712176974</v>
      </c>
      <c r="AB5" s="38">
        <f t="shared" ref="AB5:AB7" si="7">C5/1000</f>
        <v>0.05</v>
      </c>
      <c r="AC5" s="12">
        <f t="shared" ref="AC5:AC7" si="8">D5/1000</f>
        <v>2.5000000000000001E-3</v>
      </c>
      <c r="AD5" s="12">
        <f>AC5/IF(E5&lt;200,IF(E5&gt;1,SQRT(2/(E5-1))*EXP(_xlfn.GAMMALN.PRECISE(E5/2))/EXP(_xlfn.GAMMALN.PRECISE((E5-1)/2)),1),1)</f>
        <v>2.8209479177387815E-3</v>
      </c>
      <c r="AE5" s="12">
        <f t="shared" si="5"/>
        <v>-0.2</v>
      </c>
      <c r="AF5" s="12">
        <f t="shared" si="5"/>
        <v>2E-3</v>
      </c>
      <c r="AG5" s="12">
        <f t="shared" si="5"/>
        <v>9.1999999999999998E-2</v>
      </c>
      <c r="AH5" s="12">
        <f t="shared" si="5"/>
        <v>1E-3</v>
      </c>
      <c r="AI5" s="12">
        <f t="shared" si="5"/>
        <v>-0.115</v>
      </c>
      <c r="AJ5" s="12">
        <f t="shared" si="5"/>
        <v>8.9442719099991591E-4</v>
      </c>
      <c r="AK5" s="12">
        <f t="shared" si="6"/>
        <v>-0.10829999999999999</v>
      </c>
      <c r="AL5" s="42">
        <f t="shared" si="6"/>
        <v>2.4899999999999999E-2</v>
      </c>
      <c r="AN5" s="38">
        <f t="shared" ref="AN5:AN7" si="9">(AB5+AE5+AB5*AE5)</f>
        <v>-0.16000000000000003</v>
      </c>
      <c r="AO5" s="12">
        <f>SQRT(((1+AE5)*AC5/SQRT(E5))^2+((1+AB5)*AF5)^2)</f>
        <v>2.3965252624024921E-3</v>
      </c>
      <c r="AP5" s="12">
        <f>(AG5+AE5+AG5*AE5)</f>
        <v>-0.12640000000000001</v>
      </c>
      <c r="AQ5" s="12">
        <f>SQRT((AH5*(1+AE5))^2 + (AF5*(1+AG5))^2)</f>
        <v>2.325909714498824E-3</v>
      </c>
      <c r="AR5" s="12">
        <f>(1/(1-M5))*(AG5+AE5+AG5*AE5)-(M5/(1-M5))*(AI5)</f>
        <v>-0.13400000000000001</v>
      </c>
      <c r="AS5" s="12">
        <f>SQRT((AQ5*(1/(1-M5)))^2 + (AJ5*(-M5/(1-M5)))^2)</f>
        <v>3.9221082765947875E-3</v>
      </c>
      <c r="AT5" s="12">
        <f>(1/L5)*(AB5+AE5+AB5*AE5) - ((1-L5)/L5)*((1/(1-M5))*(AG5+AE5+AG5*AE5)-(M5/(1-M5))*(AI5))</f>
        <v>-0.1613220338983051</v>
      </c>
      <c r="AU5" s="12">
        <f>SQRT((AZ5*AC5/SQRT(E5))^2 + (BA5*AF5)^2 + (BB5*AH5)^2 + (BC5*AJ5)^2)</f>
        <v>2.3590548585653063E-3</v>
      </c>
      <c r="AV5" s="12">
        <f>(AT5+1)/(AK5+1)-1</f>
        <v>-5.946174038163643E-2</v>
      </c>
      <c r="AW5" s="42">
        <f>SQRT((1/(AK5+1))^2*AU5^2+((-(AT5+1))/(AK5+1)^2)^2*AL5^2)</f>
        <v>2.6396677712176974E-2</v>
      </c>
      <c r="AY5" s="38"/>
      <c r="AZ5" s="12">
        <f>(1/L5)*(1+AE5)</f>
        <v>0.84067796610169487</v>
      </c>
      <c r="BA5" s="12">
        <f>(1/L5)*(1+AB5) - ((1-L5)/(L5*(1-M5)))*(1+AG5)</f>
        <v>1.0108474576271185</v>
      </c>
      <c r="BB5" s="12">
        <f>-((1-L5)/(L5*(1-M5))) * (1+AE5)</f>
        <v>-6.779661016949147E-2</v>
      </c>
      <c r="BC5" s="42">
        <f>((1-L5)*M5)/(L5*(1-M5))</f>
        <v>3.3898305084745735E-2</v>
      </c>
    </row>
    <row r="6" spans="1:55" ht="47.25">
      <c r="A6" s="27" t="s">
        <v>62</v>
      </c>
      <c r="C6" s="3">
        <v>50</v>
      </c>
      <c r="D6" s="3">
        <v>2.5</v>
      </c>
      <c r="E6" s="3">
        <v>6</v>
      </c>
      <c r="F6" s="7">
        <v>-200</v>
      </c>
      <c r="G6" s="3">
        <v>2</v>
      </c>
      <c r="H6" s="3">
        <v>92</v>
      </c>
      <c r="I6" s="3">
        <v>1</v>
      </c>
      <c r="J6" s="3">
        <v>-115</v>
      </c>
      <c r="K6" s="3">
        <f>2/SQRT(5)</f>
        <v>0.89442719099991586</v>
      </c>
      <c r="L6" s="3">
        <f>28/34</f>
        <v>0.82352941176470584</v>
      </c>
      <c r="M6" s="3">
        <f t="shared" si="0"/>
        <v>0.4</v>
      </c>
      <c r="Q6" s="47">
        <f t="shared" si="1"/>
        <v>-160.00000000000003</v>
      </c>
      <c r="R6" s="48">
        <f t="shared" si="2"/>
        <v>2.2531459488161585</v>
      </c>
      <c r="S6" s="48">
        <f t="shared" si="3"/>
        <v>-126.4</v>
      </c>
      <c r="T6" s="48">
        <f t="shared" si="3"/>
        <v>2.3259097144988239</v>
      </c>
      <c r="U6" s="48">
        <f t="shared" si="3"/>
        <v>-134</v>
      </c>
      <c r="V6" s="48">
        <f t="shared" si="3"/>
        <v>3.9221082765947877</v>
      </c>
      <c r="W6" s="44">
        <f t="shared" si="4"/>
        <v>-165.57142857142861</v>
      </c>
      <c r="X6" s="45">
        <f t="shared" si="4"/>
        <v>2.0527670060073504</v>
      </c>
      <c r="Y6" s="46">
        <f t="shared" si="4"/>
        <v>-165.57142857142858</v>
      </c>
      <c r="Z6" s="45">
        <f t="shared" si="4"/>
        <v>2.0527670060073504</v>
      </c>
      <c r="AA6" s="8"/>
      <c r="AB6" s="38">
        <f t="shared" si="7"/>
        <v>0.05</v>
      </c>
      <c r="AC6" s="12">
        <f t="shared" si="8"/>
        <v>2.5000000000000001E-3</v>
      </c>
      <c r="AD6" s="12">
        <f>AC6/IF(E6&lt;200,IF(E6&gt;1,SQRT(2/(E6-1))*EXP(_xlfn.GAMMALN.PRECISE(E6/2))/EXP(_xlfn.GAMMALN.PRECISE((E6-1)/2)),1),1)</f>
        <v>2.6273396326865293E-3</v>
      </c>
      <c r="AE6" s="12">
        <f t="shared" si="5"/>
        <v>-0.2</v>
      </c>
      <c r="AF6" s="12">
        <f t="shared" si="5"/>
        <v>2E-3</v>
      </c>
      <c r="AG6" s="12">
        <f t="shared" si="5"/>
        <v>9.1999999999999998E-2</v>
      </c>
      <c r="AH6" s="12">
        <f t="shared" si="5"/>
        <v>1E-3</v>
      </c>
      <c r="AI6" s="12">
        <f t="shared" si="5"/>
        <v>-0.115</v>
      </c>
      <c r="AJ6" s="12">
        <f t="shared" si="5"/>
        <v>8.9442719099991591E-4</v>
      </c>
      <c r="AK6" s="12">
        <f t="shared" si="6"/>
        <v>0</v>
      </c>
      <c r="AL6" s="42">
        <f t="shared" si="6"/>
        <v>0</v>
      </c>
      <c r="AM6" s="8"/>
      <c r="AN6" s="38">
        <f t="shared" si="9"/>
        <v>-0.16000000000000003</v>
      </c>
      <c r="AO6" s="12">
        <f>SQRT(((1+AE6)*AC6/SQRT(E6))^2+((1+AB6)*AF6)^2)</f>
        <v>2.2531459488161587E-3</v>
      </c>
      <c r="AP6" s="12">
        <f>(AG6+AE6+AG6*AE6)</f>
        <v>-0.12640000000000001</v>
      </c>
      <c r="AQ6" s="12">
        <f>SQRT((AH6*(1+AE6))^2 + (AF6*(1+AG6))^2)</f>
        <v>2.325909714498824E-3</v>
      </c>
      <c r="AR6" s="12">
        <f>(1/(1-M6))*(AG6+AE6+AG6*AE6)-(M6/(1-M6))*(AI6)</f>
        <v>-0.13400000000000001</v>
      </c>
      <c r="AS6" s="12">
        <f>SQRT((AQ6*(1/(1-M6)))^2 + (AJ6*(-M6/(1-M6)))^2)</f>
        <v>3.9221082765947875E-3</v>
      </c>
      <c r="AT6" s="12">
        <f>(1/L6)*(AB6+AE6+AB6*AE6) - ((1-L6)/L6)*((1/(1-M6))*(AG6+AE6+AG6*AE6)-(M6/(1-M6))*(AI6))</f>
        <v>-0.16557142857142862</v>
      </c>
      <c r="AU6" s="12">
        <f>SQRT((AZ6*AC6/SQRT(E6))^2 + (BA6*AF6)^2 + (BB6*AH6)^2 + (BC6*AJ6)^2)</f>
        <v>2.0527670060073505E-3</v>
      </c>
      <c r="AV6" s="12">
        <f>(AT6+1)/(AK6+1)-1</f>
        <v>-0.16557142857142859</v>
      </c>
      <c r="AW6" s="42">
        <f>SQRT((1/(AK6+1))^2*AU6^2+((-(AT6+1))/(AK6+1)^2)^2*AL6^2)</f>
        <v>2.0527670060073505E-3</v>
      </c>
      <c r="AX6" s="8"/>
      <c r="AY6" s="38"/>
      <c r="AZ6" s="12">
        <f>(1/L6)*(1+AE6)</f>
        <v>0.97142857142857153</v>
      </c>
      <c r="BA6" s="12">
        <f>(1/L6)*(1+AB6) - ((1-L6)/(L6*(1-M6)))*(1+AG6)</f>
        <v>0.88500000000000001</v>
      </c>
      <c r="BB6" s="12">
        <f>-((1-L6)/(L6*(1-M6))) * (1+AE6)</f>
        <v>-0.28571428571428581</v>
      </c>
      <c r="BC6" s="42">
        <f>((1-L6)*M6)/(L6*(1-M6))</f>
        <v>0.1428571428571429</v>
      </c>
    </row>
    <row r="7" spans="1:55" ht="31.5">
      <c r="A7" s="27" t="s">
        <v>61</v>
      </c>
      <c r="C7" s="3">
        <v>50</v>
      </c>
      <c r="D7" s="3">
        <v>2.5</v>
      </c>
      <c r="E7" s="18">
        <v>3</v>
      </c>
      <c r="F7" s="7">
        <v>-200</v>
      </c>
      <c r="G7" s="3">
        <v>2</v>
      </c>
      <c r="L7" s="3">
        <v>1</v>
      </c>
      <c r="N7" s="3">
        <v>-122.5</v>
      </c>
      <c r="O7" s="34">
        <v>32.1</v>
      </c>
      <c r="Q7" s="47">
        <f t="shared" si="1"/>
        <v>-160.00000000000003</v>
      </c>
      <c r="R7" s="48">
        <f t="shared" si="2"/>
        <v>2.3965252624024922</v>
      </c>
      <c r="S7" s="48" t="str">
        <f t="shared" si="3"/>
        <v>n/a</v>
      </c>
      <c r="T7" s="48" t="str">
        <f t="shared" si="3"/>
        <v>n/a</v>
      </c>
      <c r="U7" s="48" t="str">
        <f t="shared" si="3"/>
        <v>n/a</v>
      </c>
      <c r="V7" s="48" t="str">
        <f t="shared" si="3"/>
        <v>n/a</v>
      </c>
      <c r="W7" s="44">
        <f t="shared" si="4"/>
        <v>-160.00000000000003</v>
      </c>
      <c r="X7" s="45">
        <f t="shared" si="4"/>
        <v>2.3965252624024922</v>
      </c>
      <c r="Y7" s="46">
        <f t="shared" si="4"/>
        <v>-42.735042735042697</v>
      </c>
      <c r="Z7" s="45">
        <f t="shared" si="4"/>
        <v>35.124236147993393</v>
      </c>
      <c r="AB7" s="38">
        <f t="shared" si="7"/>
        <v>0.05</v>
      </c>
      <c r="AC7" s="12">
        <f t="shared" si="8"/>
        <v>2.5000000000000001E-3</v>
      </c>
      <c r="AD7" s="12">
        <f>AC7/IF(E7&lt;200,IF(E7&gt;1,SQRT(2/(E7-1))*EXP(_xlfn.GAMMALN.PRECISE(E7/2))/EXP(_xlfn.GAMMALN.PRECISE((E7-1)/2)),1),1)</f>
        <v>2.8209479177387815E-3</v>
      </c>
      <c r="AE7" s="12">
        <f t="shared" si="5"/>
        <v>-0.2</v>
      </c>
      <c r="AF7" s="12">
        <f t="shared" si="5"/>
        <v>2E-3</v>
      </c>
      <c r="AG7" s="12">
        <f t="shared" si="5"/>
        <v>0</v>
      </c>
      <c r="AH7" s="12">
        <f t="shared" si="5"/>
        <v>0</v>
      </c>
      <c r="AI7" s="12">
        <f t="shared" si="5"/>
        <v>0</v>
      </c>
      <c r="AJ7" s="12">
        <f t="shared" si="5"/>
        <v>0</v>
      </c>
      <c r="AK7" s="12">
        <f t="shared" si="6"/>
        <v>-0.1225</v>
      </c>
      <c r="AL7" s="42">
        <f t="shared" si="6"/>
        <v>3.2100000000000004E-2</v>
      </c>
      <c r="AN7" s="38">
        <f t="shared" si="9"/>
        <v>-0.16000000000000003</v>
      </c>
      <c r="AO7" s="12">
        <f>SQRT(((1+AE7)*AC7/SQRT(E7))^2+((1+AB7)*AF7)^2)</f>
        <v>2.3965252624024921E-3</v>
      </c>
      <c r="AP7" s="12">
        <f>(AG7+AE7+AG7*AE7)</f>
        <v>-0.2</v>
      </c>
      <c r="AQ7" s="12">
        <f>SQRT((AH7*(1+AE7))^2 + (AF7*(1+AG7))^2)</f>
        <v>2E-3</v>
      </c>
      <c r="AR7" s="12">
        <f>(1/(1-M7))*(AG7+AE7+AG7*AE7)-(M7/(1-M7))*(AI7)</f>
        <v>-0.2</v>
      </c>
      <c r="AS7" s="12">
        <f>SQRT((AQ7*(1/(1-M7)))^2 + (AJ7*(-M7/(1-M7)))^2)</f>
        <v>2E-3</v>
      </c>
      <c r="AT7" s="12">
        <f>(1/L7)*(AB7+AE7+AB7*AE7) - ((1-L7)/L7)*((1/(1-M7))*(AG7+AE7+AG7*AE7)-(M7/(1-M7))*(AI7))</f>
        <v>-0.16000000000000003</v>
      </c>
      <c r="AU7" s="12">
        <f>SQRT((AZ7*AC7/SQRT(E7))^2 + (BA7*AF7)^2 + (BB7*AH7)^2 + (BC7*AJ7)^2)</f>
        <v>2.3965252624024921E-3</v>
      </c>
      <c r="AV7" s="12">
        <f>(AT7+1)/(AK7+1)-1</f>
        <v>-4.2735042735042694E-2</v>
      </c>
      <c r="AW7" s="42">
        <f>SQRT((1/(AK7+1))^2*AU7^2+((-(AT7+1))/(AK7+1)^2)^2*AL7^2)</f>
        <v>3.5124236147993391E-2</v>
      </c>
      <c r="AY7" s="38"/>
      <c r="AZ7" s="12">
        <f>(1/L7)*(1+AE7)</f>
        <v>0.8</v>
      </c>
      <c r="BA7" s="12">
        <f>(1/L7)*(1+AB7) - ((1-L7)/(L7*(1-M7)))*(1+AG7)</f>
        <v>1.05</v>
      </c>
      <c r="BB7" s="12">
        <f>-((1-L7)/(L7*(1-M7))) * (1+AE7)</f>
        <v>0</v>
      </c>
      <c r="BC7" s="42">
        <f>((1-L7)*M7)/(L7*(1-M7))</f>
        <v>0</v>
      </c>
    </row>
    <row r="8" spans="1:55" ht="31.5">
      <c r="A8" s="27" t="s">
        <v>194</v>
      </c>
      <c r="E8" s="18"/>
      <c r="F8" s="7"/>
      <c r="AA8" s="8"/>
      <c r="AB8" s="38"/>
      <c r="AC8" s="12"/>
      <c r="AD8" s="12"/>
      <c r="AE8" s="12"/>
      <c r="AF8" s="12"/>
      <c r="AG8" s="12"/>
      <c r="AH8" s="12"/>
      <c r="AI8" s="12"/>
      <c r="AJ8" s="12"/>
      <c r="AK8" s="12"/>
      <c r="AL8" s="42"/>
      <c r="AM8" s="8"/>
      <c r="AN8" s="38"/>
      <c r="AO8" s="12"/>
      <c r="AP8" s="12"/>
      <c r="AQ8" s="12"/>
      <c r="AR8" s="12"/>
      <c r="AS8" s="12"/>
      <c r="AT8" s="12"/>
      <c r="AU8" s="12"/>
      <c r="AV8" s="12"/>
      <c r="AW8" s="42"/>
      <c r="AX8" s="8"/>
      <c r="AY8" s="38"/>
      <c r="AZ8" s="12"/>
      <c r="BA8" s="12"/>
      <c r="BB8" s="12"/>
      <c r="BC8" s="42"/>
    </row>
    <row r="9" spans="1:55">
      <c r="A9" s="26" t="s">
        <v>85</v>
      </c>
      <c r="D9" s="24"/>
      <c r="F9" s="7"/>
      <c r="AA9" s="8"/>
      <c r="AB9" s="38"/>
      <c r="AC9" s="12"/>
      <c r="AD9" s="12"/>
      <c r="AE9" s="12"/>
      <c r="AF9" s="12"/>
      <c r="AG9" s="12"/>
      <c r="AH9" s="12"/>
      <c r="AI9" s="12"/>
      <c r="AJ9" s="12"/>
      <c r="AK9" s="12"/>
      <c r="AL9" s="42"/>
      <c r="AM9" s="8"/>
      <c r="AN9" s="38"/>
      <c r="AO9" s="12"/>
      <c r="AP9" s="12"/>
      <c r="AQ9" s="12"/>
      <c r="AR9" s="12"/>
      <c r="AS9" s="12"/>
      <c r="AT9" s="12"/>
      <c r="AU9" s="12"/>
      <c r="AV9" s="12"/>
      <c r="AW9" s="42"/>
      <c r="AX9" s="8"/>
      <c r="AY9" s="38"/>
      <c r="AZ9" s="12"/>
      <c r="BA9" s="12"/>
      <c r="BB9" s="12"/>
      <c r="BC9" s="42"/>
    </row>
    <row r="10" spans="1:55">
      <c r="A10" s="22">
        <v>1</v>
      </c>
      <c r="B10" s="23" t="s">
        <v>192</v>
      </c>
      <c r="C10" s="24">
        <v>70.261229999999998</v>
      </c>
      <c r="D10" s="24">
        <v>2.3024653136169464</v>
      </c>
      <c r="E10" s="3">
        <v>1</v>
      </c>
      <c r="F10" s="3">
        <v>-203.74384308141239</v>
      </c>
      <c r="G10" s="3">
        <v>2.1698706596136019</v>
      </c>
      <c r="H10" s="3">
        <v>92</v>
      </c>
      <c r="I10" s="3">
        <f t="shared" ref="I10:I59" si="10">3/SQRT(5)</f>
        <v>1.3416407864998738</v>
      </c>
      <c r="J10" s="3">
        <v>-115</v>
      </c>
      <c r="K10" s="3">
        <f t="shared" ref="K10:K59" si="11">2/SQRT(5)</f>
        <v>0.89442719099991586</v>
      </c>
      <c r="L10" s="3">
        <f>(30*2+2-3)/(30*2+2)</f>
        <v>0.95161290322580649</v>
      </c>
      <c r="M10" s="3">
        <f t="shared" ref="M10:M59" si="12">4/(4+6)</f>
        <v>0.4</v>
      </c>
      <c r="N10" s="3">
        <v>-108.3</v>
      </c>
      <c r="O10" s="34">
        <v>24.9</v>
      </c>
      <c r="Q10" s="47">
        <f t="shared" ref="Q10:Q59" si="13">IF($C10="","n/a",AN10*1000)</f>
        <v>-147.79790610123945</v>
      </c>
      <c r="R10" s="48">
        <f t="shared" ref="R10:R59" si="14">IF($C10="","n/a",AO10*1000)</f>
        <v>2.9587817783333694</v>
      </c>
      <c r="S10" s="48">
        <f t="shared" ref="S10:S41" si="15">IF($L10=1,"n/a",AP10*1000)</f>
        <v>-130.4882766449023</v>
      </c>
      <c r="T10" s="48">
        <f t="shared" ref="T10:T41" si="16">IF($L10=1,"n/a",AQ10*1000)</f>
        <v>2.5991858987824203</v>
      </c>
      <c r="U10" s="48">
        <f t="shared" ref="U10:U41" si="17">IF($L10=1,"n/a",AR10*1000)</f>
        <v>-140.81379440817054</v>
      </c>
      <c r="V10" s="48">
        <f t="shared" ref="V10:V41" si="18">IF($L10=1,"n/a",AS10*1000)</f>
        <v>4.3728224220205938</v>
      </c>
      <c r="W10" s="44">
        <f t="shared" ref="W10:W41" si="19">IF($C10="","n/a",AT10*1000)</f>
        <v>-148.15303042461579</v>
      </c>
      <c r="X10" s="45">
        <f t="shared" ref="X10:X41" si="20">IF($C10="","n/a",AU10*1000)</f>
        <v>2.9557815691386069</v>
      </c>
      <c r="Y10" s="46">
        <f t="shared" ref="Y10:Y41" si="21">IF($C10="","n/a",AV10*1000)</f>
        <v>-44.693316613901416</v>
      </c>
      <c r="Z10" s="45">
        <f t="shared" ref="Z10:Z41" si="22">IF($C10="","n/a",AW10*1000)</f>
        <v>26.881322382276139</v>
      </c>
      <c r="AA10" s="8"/>
      <c r="AB10" s="38">
        <f t="shared" ref="AB10:AB59" si="23">C10/1000</f>
        <v>7.0261229999999994E-2</v>
      </c>
      <c r="AC10" s="12">
        <f t="shared" ref="AC10:AC59" si="24">D10/1000</f>
        <v>2.3024653136169463E-3</v>
      </c>
      <c r="AD10" s="12">
        <f t="shared" ref="AD10:AD59" si="25">AC10/IF(E10&lt;200,IF(E10&gt;1,SQRT(2/(E10-1))*EXP(_xlfn.GAMMALN.PRECISE(E10/2))/EXP(_xlfn.GAMMALN.PRECISE((E10-1)/2)),1),1)</f>
        <v>2.3024653136169463E-3</v>
      </c>
      <c r="AE10" s="12">
        <f t="shared" ref="AE10:AE59" si="26">F10/1000</f>
        <v>-0.20374384308141238</v>
      </c>
      <c r="AF10" s="12">
        <f t="shared" ref="AF10:AF59" si="27">G10/1000</f>
        <v>2.169870659613602E-3</v>
      </c>
      <c r="AG10" s="12">
        <f t="shared" ref="AG10:AG59" si="28">H10/1000</f>
        <v>9.1999999999999998E-2</v>
      </c>
      <c r="AH10" s="12">
        <f t="shared" ref="AH10:AH59" si="29">I10/1000</f>
        <v>1.3416407864998738E-3</v>
      </c>
      <c r="AI10" s="12">
        <f t="shared" ref="AI10:AI59" si="30">J10/1000</f>
        <v>-0.115</v>
      </c>
      <c r="AJ10" s="12">
        <f t="shared" ref="AJ10:AJ59" si="31">K10/1000</f>
        <v>8.9442719099991591E-4</v>
      </c>
      <c r="AK10" s="12">
        <f t="shared" ref="AK10:AK59" si="32">N10/1000</f>
        <v>-0.10829999999999999</v>
      </c>
      <c r="AL10" s="42">
        <f t="shared" ref="AL10:AL59" si="33">O10/1000</f>
        <v>2.4899999999999999E-2</v>
      </c>
      <c r="AM10" s="8"/>
      <c r="AN10" s="38">
        <f t="shared" ref="AN10:AN59" si="34">(AB10+AE10+AB10*AE10)</f>
        <v>-0.14779790610123944</v>
      </c>
      <c r="AO10" s="12">
        <f>SQRT(((1+AE10)*AC10/SQRT(E10))^2+((1+AB10)*AF10)^2)</f>
        <v>2.9587817783333693E-3</v>
      </c>
      <c r="AP10" s="12">
        <f t="shared" ref="AP10:AP41" si="35">(AG10+AE10+AG10*AE10)</f>
        <v>-0.13048827664490231</v>
      </c>
      <c r="AQ10" s="12">
        <f t="shared" ref="AQ10:AQ41" si="36">SQRT((AH10*(1+AE10))^2 + (AF10*(1+AG10))^2)</f>
        <v>2.5991858987824204E-3</v>
      </c>
      <c r="AR10" s="12">
        <f t="shared" ref="AR10:AR41" si="37">(1/(1-M10))*(AG10+AE10+AG10*AE10)-(M10/(1-M10))*(AI10)</f>
        <v>-0.14081379440817055</v>
      </c>
      <c r="AS10" s="12">
        <f t="shared" ref="AS10:AS41" si="38">SQRT((AQ10*(1/(1-M10)))^2 + (AJ10*(-M10/(1-M10)))^2)</f>
        <v>4.372822422020594E-3</v>
      </c>
      <c r="AT10" s="12">
        <f t="shared" ref="AT10:AT41" si="39">(1/L10)*(AB10+AE10+AB10*AE10) - ((1-L10)/L10)*((1/(1-M10))*(AG10+AE10+AG10*AE10)-(M10/(1-M10))*(AI10))</f>
        <v>-0.14815303042461581</v>
      </c>
      <c r="AU10" s="12">
        <f t="shared" ref="AU10:AU41" si="40">SQRT((AZ10*AC10/SQRT(E10))^2 + (BA10*AF10)^2 + (BB10*AH10)^2 + (BC10*AJ10)^2)</f>
        <v>2.9557815691386071E-3</v>
      </c>
      <c r="AV10" s="12">
        <f t="shared" ref="AV10:AV41" si="41">(AT10+1)/(AK10+1)-1</f>
        <v>-4.4693316613901413E-2</v>
      </c>
      <c r="AW10" s="42">
        <f t="shared" ref="AW10:AW41" si="42">SQRT((1/(AK10+1))^2*AU10^2+((-(AT10+1))/(AK10+1)^2)^2*AL10^2)</f>
        <v>2.688132238227614E-2</v>
      </c>
      <c r="AX10" s="8"/>
      <c r="AY10" s="38"/>
      <c r="AZ10" s="12">
        <f t="shared" ref="AZ10:AZ59" si="43">(1/L10)*(1+AE10)</f>
        <v>0.83674375811783774</v>
      </c>
      <c r="BA10" s="12">
        <f t="shared" ref="BA10:BA59" si="44">(1/L10)*(1+AB10) - ((1-L10)/(L10*(1-M10)))*(1+AG10)</f>
        <v>1.0321389196610169</v>
      </c>
      <c r="BB10" s="12">
        <f t="shared" ref="BB10:BB59" si="45">-((1-L10)/(L10*(1-M10))) * (1+AE10)</f>
        <v>-6.747933533208364E-2</v>
      </c>
      <c r="BC10" s="42">
        <f t="shared" ref="BC10:BC59" si="46">((1-L10)*M10)/(L10*(1-M10))</f>
        <v>3.3898305084745735E-2</v>
      </c>
    </row>
    <row r="11" spans="1:55">
      <c r="A11" s="22">
        <v>2</v>
      </c>
      <c r="B11" s="23" t="s">
        <v>192</v>
      </c>
      <c r="C11" s="24">
        <v>67.027410000000003</v>
      </c>
      <c r="D11" s="24">
        <v>2.3024653136169464</v>
      </c>
      <c r="E11" s="3">
        <v>2</v>
      </c>
      <c r="F11" s="3">
        <v>-203.74384308141239</v>
      </c>
      <c r="G11" s="3">
        <v>2.1698706596136019</v>
      </c>
      <c r="H11" s="3">
        <v>92</v>
      </c>
      <c r="I11" s="3">
        <f t="shared" si="10"/>
        <v>1.3416407864998738</v>
      </c>
      <c r="J11" s="3">
        <v>-115</v>
      </c>
      <c r="K11" s="3">
        <f t="shared" si="11"/>
        <v>0.89442719099991586</v>
      </c>
      <c r="L11" s="3">
        <f t="shared" ref="L11:L59" si="47">(30*2+2-3)/(30*2+2)</f>
        <v>0.95161290322580649</v>
      </c>
      <c r="M11" s="3">
        <f t="shared" si="12"/>
        <v>0.4</v>
      </c>
      <c r="N11" s="3">
        <v>-108.3</v>
      </c>
      <c r="O11" s="34">
        <v>24.9</v>
      </c>
      <c r="Q11" s="47">
        <f t="shared" si="13"/>
        <v>-150.37285518660588</v>
      </c>
      <c r="R11" s="48">
        <f t="shared" si="14"/>
        <v>2.6535367558543625</v>
      </c>
      <c r="S11" s="48">
        <f t="shared" si="15"/>
        <v>-130.4882766449023</v>
      </c>
      <c r="T11" s="48">
        <f t="shared" si="16"/>
        <v>2.5991858987824203</v>
      </c>
      <c r="U11" s="48">
        <f t="shared" si="17"/>
        <v>-140.81379440817054</v>
      </c>
      <c r="V11" s="48">
        <f t="shared" si="18"/>
        <v>4.3728224220205938</v>
      </c>
      <c r="W11" s="44">
        <f t="shared" si="19"/>
        <v>-150.85890912449241</v>
      </c>
      <c r="X11" s="45">
        <f t="shared" si="20"/>
        <v>2.6168354323000824</v>
      </c>
      <c r="Y11" s="46">
        <f t="shared" si="21"/>
        <v>-47.727833491636673</v>
      </c>
      <c r="Z11" s="45">
        <f t="shared" si="22"/>
        <v>26.752874653613091</v>
      </c>
      <c r="AA11" s="8"/>
      <c r="AB11" s="38">
        <f t="shared" si="23"/>
        <v>6.7027410000000009E-2</v>
      </c>
      <c r="AC11" s="12">
        <f t="shared" si="24"/>
        <v>2.3024653136169463E-3</v>
      </c>
      <c r="AD11" s="12">
        <f t="shared" si="25"/>
        <v>2.8857123282346854E-3</v>
      </c>
      <c r="AE11" s="12">
        <f t="shared" si="26"/>
        <v>-0.20374384308141238</v>
      </c>
      <c r="AF11" s="12">
        <f t="shared" si="27"/>
        <v>2.169870659613602E-3</v>
      </c>
      <c r="AG11" s="12">
        <f t="shared" si="28"/>
        <v>9.1999999999999998E-2</v>
      </c>
      <c r="AH11" s="12">
        <f t="shared" si="29"/>
        <v>1.3416407864998738E-3</v>
      </c>
      <c r="AI11" s="12">
        <f t="shared" si="30"/>
        <v>-0.115</v>
      </c>
      <c r="AJ11" s="12">
        <f t="shared" si="31"/>
        <v>8.9442719099991591E-4</v>
      </c>
      <c r="AK11" s="12">
        <f t="shared" si="32"/>
        <v>-0.10829999999999999</v>
      </c>
      <c r="AL11" s="42">
        <f t="shared" si="33"/>
        <v>2.4899999999999999E-2</v>
      </c>
      <c r="AM11" s="8"/>
      <c r="AN11" s="38">
        <f t="shared" si="34"/>
        <v>-0.15037285518660587</v>
      </c>
      <c r="AO11" s="12">
        <f t="shared" ref="AO11:AO59" si="48">SQRT(((1+AE11)*AC11/SQRT(E11))^2+((1+AB11)*AF11)^2)</f>
        <v>2.6535367558543623E-3</v>
      </c>
      <c r="AP11" s="12">
        <f t="shared" si="35"/>
        <v>-0.13048827664490231</v>
      </c>
      <c r="AQ11" s="12">
        <f t="shared" si="36"/>
        <v>2.5991858987824204E-3</v>
      </c>
      <c r="AR11" s="12">
        <f t="shared" si="37"/>
        <v>-0.14081379440817055</v>
      </c>
      <c r="AS11" s="12">
        <f t="shared" si="38"/>
        <v>4.372822422020594E-3</v>
      </c>
      <c r="AT11" s="12">
        <f t="shared" si="39"/>
        <v>-0.1508589091244924</v>
      </c>
      <c r="AU11" s="12">
        <f t="shared" si="40"/>
        <v>2.6168354323000825E-3</v>
      </c>
      <c r="AV11" s="12">
        <f t="shared" si="41"/>
        <v>-4.7727833491636673E-2</v>
      </c>
      <c r="AW11" s="42">
        <f t="shared" si="42"/>
        <v>2.675287465361309E-2</v>
      </c>
      <c r="AX11" s="8"/>
      <c r="AY11" s="38"/>
      <c r="AZ11" s="12">
        <f t="shared" si="43"/>
        <v>0.83674375811783774</v>
      </c>
      <c r="BA11" s="12">
        <f t="shared" si="44"/>
        <v>1.0287406681355933</v>
      </c>
      <c r="BB11" s="12">
        <f t="shared" si="45"/>
        <v>-6.747933533208364E-2</v>
      </c>
      <c r="BC11" s="42">
        <f t="shared" si="46"/>
        <v>3.3898305084745735E-2</v>
      </c>
    </row>
    <row r="12" spans="1:55">
      <c r="A12" s="22">
        <v>3</v>
      </c>
      <c r="B12" s="23" t="s">
        <v>192</v>
      </c>
      <c r="C12" s="24">
        <v>71.487250000000003</v>
      </c>
      <c r="D12" s="24">
        <v>2.3024653136169464</v>
      </c>
      <c r="E12" s="3">
        <v>4</v>
      </c>
      <c r="F12" s="3">
        <v>-203.74384308141239</v>
      </c>
      <c r="G12" s="3">
        <v>2.1698706596136019</v>
      </c>
      <c r="H12" s="3">
        <v>92</v>
      </c>
      <c r="I12" s="3">
        <f t="shared" si="10"/>
        <v>1.3416407864998738</v>
      </c>
      <c r="J12" s="3">
        <v>-115</v>
      </c>
      <c r="K12" s="3">
        <f t="shared" si="11"/>
        <v>0.89442719099991586</v>
      </c>
      <c r="L12" s="3">
        <f t="shared" si="47"/>
        <v>0.95161290322580649</v>
      </c>
      <c r="M12" s="3">
        <f t="shared" si="12"/>
        <v>0.4</v>
      </c>
      <c r="N12" s="3">
        <v>-108.3</v>
      </c>
      <c r="O12" s="34">
        <v>24.9</v>
      </c>
      <c r="Q12" s="47">
        <f t="shared" si="13"/>
        <v>-146.82168012773408</v>
      </c>
      <c r="R12" s="48">
        <f t="shared" si="14"/>
        <v>2.4991734082578807</v>
      </c>
      <c r="S12" s="48">
        <f t="shared" si="15"/>
        <v>-130.4882766449023</v>
      </c>
      <c r="T12" s="48">
        <f t="shared" si="16"/>
        <v>2.5991858987824203</v>
      </c>
      <c r="U12" s="48">
        <f t="shared" si="17"/>
        <v>-140.81379440817054</v>
      </c>
      <c r="V12" s="48">
        <f t="shared" si="18"/>
        <v>4.3728224220205938</v>
      </c>
      <c r="W12" s="44">
        <f t="shared" si="19"/>
        <v>-147.12716584228815</v>
      </c>
      <c r="X12" s="45">
        <f t="shared" si="20"/>
        <v>2.4424189757248276</v>
      </c>
      <c r="Y12" s="46">
        <f t="shared" si="21"/>
        <v>-43.542857286405948</v>
      </c>
      <c r="Z12" s="45">
        <f t="shared" si="22"/>
        <v>26.848374976939414</v>
      </c>
      <c r="AA12" s="8"/>
      <c r="AB12" s="38">
        <f t="shared" si="23"/>
        <v>7.1487250000000002E-2</v>
      </c>
      <c r="AC12" s="12">
        <f t="shared" si="24"/>
        <v>2.3024653136169463E-3</v>
      </c>
      <c r="AD12" s="12">
        <f t="shared" si="25"/>
        <v>2.4991001842651762E-3</v>
      </c>
      <c r="AE12" s="12">
        <f t="shared" si="26"/>
        <v>-0.20374384308141238</v>
      </c>
      <c r="AF12" s="12">
        <f t="shared" si="27"/>
        <v>2.169870659613602E-3</v>
      </c>
      <c r="AG12" s="12">
        <f t="shared" si="28"/>
        <v>9.1999999999999998E-2</v>
      </c>
      <c r="AH12" s="12">
        <f t="shared" si="29"/>
        <v>1.3416407864998738E-3</v>
      </c>
      <c r="AI12" s="12">
        <f t="shared" si="30"/>
        <v>-0.115</v>
      </c>
      <c r="AJ12" s="12">
        <f t="shared" si="31"/>
        <v>8.9442719099991591E-4</v>
      </c>
      <c r="AK12" s="12">
        <f t="shared" si="32"/>
        <v>-0.10829999999999999</v>
      </c>
      <c r="AL12" s="42">
        <f t="shared" si="33"/>
        <v>2.4899999999999999E-2</v>
      </c>
      <c r="AM12" s="8"/>
      <c r="AN12" s="38">
        <f t="shared" si="34"/>
        <v>-0.14682168012773408</v>
      </c>
      <c r="AO12" s="12">
        <f t="shared" si="48"/>
        <v>2.4991734082578806E-3</v>
      </c>
      <c r="AP12" s="12">
        <f t="shared" si="35"/>
        <v>-0.13048827664490231</v>
      </c>
      <c r="AQ12" s="12">
        <f t="shared" si="36"/>
        <v>2.5991858987824204E-3</v>
      </c>
      <c r="AR12" s="12">
        <f t="shared" si="37"/>
        <v>-0.14081379440817055</v>
      </c>
      <c r="AS12" s="12">
        <f t="shared" si="38"/>
        <v>4.372822422020594E-3</v>
      </c>
      <c r="AT12" s="12">
        <f t="shared" si="39"/>
        <v>-0.14712716584228816</v>
      </c>
      <c r="AU12" s="12">
        <f t="shared" si="40"/>
        <v>2.4424189757248278E-3</v>
      </c>
      <c r="AV12" s="12">
        <f t="shared" si="41"/>
        <v>-4.3542857286405945E-2</v>
      </c>
      <c r="AW12" s="42">
        <f t="shared" si="42"/>
        <v>2.6848374976939416E-2</v>
      </c>
      <c r="AX12" s="8"/>
      <c r="AY12" s="38"/>
      <c r="AZ12" s="12">
        <f t="shared" si="43"/>
        <v>0.83674375811783774</v>
      </c>
      <c r="BA12" s="12">
        <f t="shared" si="44"/>
        <v>1.0334272796610169</v>
      </c>
      <c r="BB12" s="12">
        <f t="shared" si="45"/>
        <v>-6.747933533208364E-2</v>
      </c>
      <c r="BC12" s="42">
        <f t="shared" si="46"/>
        <v>3.3898305084745735E-2</v>
      </c>
    </row>
    <row r="13" spans="1:55">
      <c r="A13" s="22">
        <v>4</v>
      </c>
      <c r="B13" s="23" t="s">
        <v>192</v>
      </c>
      <c r="C13" s="24">
        <v>79.241749999999996</v>
      </c>
      <c r="D13" s="24">
        <v>2.3024653136169464</v>
      </c>
      <c r="E13" s="3">
        <v>3</v>
      </c>
      <c r="F13" s="3">
        <v>-203.74384308141239</v>
      </c>
      <c r="G13" s="3">
        <v>2.1698706596136019</v>
      </c>
      <c r="H13" s="3">
        <v>92</v>
      </c>
      <c r="I13" s="3">
        <f t="shared" si="10"/>
        <v>1.3416407864998738</v>
      </c>
      <c r="J13" s="3">
        <v>-115</v>
      </c>
      <c r="K13" s="3">
        <f t="shared" si="11"/>
        <v>0.89442719099991586</v>
      </c>
      <c r="L13" s="3">
        <f t="shared" si="47"/>
        <v>0.95161290322580649</v>
      </c>
      <c r="M13" s="3">
        <f t="shared" si="12"/>
        <v>0.4</v>
      </c>
      <c r="N13" s="3">
        <v>-108.3</v>
      </c>
      <c r="O13" s="34">
        <v>24.9</v>
      </c>
      <c r="Q13" s="47">
        <f t="shared" si="13"/>
        <v>-140.64711175890889</v>
      </c>
      <c r="R13" s="48">
        <f t="shared" si="14"/>
        <v>2.5699204149746735</v>
      </c>
      <c r="S13" s="48">
        <f t="shared" si="15"/>
        <v>-130.4882766449023</v>
      </c>
      <c r="T13" s="48">
        <f t="shared" si="16"/>
        <v>2.5991858987824203</v>
      </c>
      <c r="U13" s="48">
        <f t="shared" si="17"/>
        <v>-140.81379440817054</v>
      </c>
      <c r="V13" s="48">
        <f t="shared" si="18"/>
        <v>4.3728224220205938</v>
      </c>
      <c r="W13" s="44">
        <f t="shared" si="19"/>
        <v>-140.63863636996336</v>
      </c>
      <c r="X13" s="45">
        <f t="shared" si="20"/>
        <v>2.5207796079111988</v>
      </c>
      <c r="Y13" s="46">
        <f t="shared" si="21"/>
        <v>-36.266273825236617</v>
      </c>
      <c r="Z13" s="45">
        <f t="shared" si="22"/>
        <v>27.059554928192668</v>
      </c>
      <c r="AA13" s="8"/>
      <c r="AB13" s="38">
        <f t="shared" si="23"/>
        <v>7.924175E-2</v>
      </c>
      <c r="AC13" s="12">
        <f t="shared" si="24"/>
        <v>2.3024653136169463E-3</v>
      </c>
      <c r="AD13" s="12">
        <f t="shared" si="25"/>
        <v>2.5980538928453978E-3</v>
      </c>
      <c r="AE13" s="12">
        <f t="shared" si="26"/>
        <v>-0.20374384308141238</v>
      </c>
      <c r="AF13" s="12">
        <f t="shared" si="27"/>
        <v>2.169870659613602E-3</v>
      </c>
      <c r="AG13" s="12">
        <f t="shared" si="28"/>
        <v>9.1999999999999998E-2</v>
      </c>
      <c r="AH13" s="12">
        <f t="shared" si="29"/>
        <v>1.3416407864998738E-3</v>
      </c>
      <c r="AI13" s="12">
        <f t="shared" si="30"/>
        <v>-0.115</v>
      </c>
      <c r="AJ13" s="12">
        <f t="shared" si="31"/>
        <v>8.9442719099991591E-4</v>
      </c>
      <c r="AK13" s="12">
        <f t="shared" si="32"/>
        <v>-0.10829999999999999</v>
      </c>
      <c r="AL13" s="42">
        <f t="shared" si="33"/>
        <v>2.4899999999999999E-2</v>
      </c>
      <c r="AM13" s="8"/>
      <c r="AN13" s="38">
        <f t="shared" si="34"/>
        <v>-0.1406471117589089</v>
      </c>
      <c r="AO13" s="12">
        <f t="shared" si="48"/>
        <v>2.5699204149746734E-3</v>
      </c>
      <c r="AP13" s="12">
        <f t="shared" si="35"/>
        <v>-0.13048827664490231</v>
      </c>
      <c r="AQ13" s="12">
        <f t="shared" si="36"/>
        <v>2.5991858987824204E-3</v>
      </c>
      <c r="AR13" s="12">
        <f t="shared" si="37"/>
        <v>-0.14081379440817055</v>
      </c>
      <c r="AS13" s="12">
        <f t="shared" si="38"/>
        <v>4.372822422020594E-3</v>
      </c>
      <c r="AT13" s="12">
        <f t="shared" si="39"/>
        <v>-0.14063863636996338</v>
      </c>
      <c r="AU13" s="12">
        <f t="shared" si="40"/>
        <v>2.5207796079111987E-3</v>
      </c>
      <c r="AV13" s="12">
        <f t="shared" si="41"/>
        <v>-3.6266273825236617E-2</v>
      </c>
      <c r="AW13" s="42">
        <f t="shared" si="42"/>
        <v>2.7059554928192668E-2</v>
      </c>
      <c r="AX13" s="8"/>
      <c r="AY13" s="38"/>
      <c r="AZ13" s="12">
        <f t="shared" si="43"/>
        <v>0.83674375811783774</v>
      </c>
      <c r="BA13" s="12">
        <f t="shared" si="44"/>
        <v>1.0415760762711863</v>
      </c>
      <c r="BB13" s="12">
        <f t="shared" si="45"/>
        <v>-6.747933533208364E-2</v>
      </c>
      <c r="BC13" s="42">
        <f t="shared" si="46"/>
        <v>3.3898305084745735E-2</v>
      </c>
    </row>
    <row r="14" spans="1:55">
      <c r="A14" s="22">
        <v>5</v>
      </c>
      <c r="B14" s="23" t="s">
        <v>192</v>
      </c>
      <c r="C14" s="24">
        <v>73.363699999999994</v>
      </c>
      <c r="D14" s="24">
        <v>2.3024653136169464</v>
      </c>
      <c r="E14" s="3">
        <v>2</v>
      </c>
      <c r="F14" s="3">
        <v>-203.74384308141239</v>
      </c>
      <c r="G14" s="3">
        <v>2.1698706596136019</v>
      </c>
      <c r="H14" s="3">
        <v>92</v>
      </c>
      <c r="I14" s="3">
        <f t="shared" si="10"/>
        <v>1.3416407864998738</v>
      </c>
      <c r="J14" s="3">
        <v>-115</v>
      </c>
      <c r="K14" s="3">
        <f t="shared" si="11"/>
        <v>0.89442719099991586</v>
      </c>
      <c r="L14" s="3">
        <f t="shared" si="47"/>
        <v>0.95161290322580649</v>
      </c>
      <c r="M14" s="3">
        <f t="shared" si="12"/>
        <v>0.4</v>
      </c>
      <c r="N14" s="3">
        <v>-108.3</v>
      </c>
      <c r="O14" s="34">
        <v>24.9</v>
      </c>
      <c r="Q14" s="47">
        <f t="shared" si="13"/>
        <v>-145.32754526208419</v>
      </c>
      <c r="R14" s="48">
        <f t="shared" si="14"/>
        <v>2.6655416817776669</v>
      </c>
      <c r="S14" s="48">
        <f t="shared" si="15"/>
        <v>-130.4882766449023</v>
      </c>
      <c r="T14" s="48">
        <f t="shared" si="16"/>
        <v>2.5991858987824203</v>
      </c>
      <c r="U14" s="48">
        <f t="shared" si="17"/>
        <v>-140.81379440817054</v>
      </c>
      <c r="V14" s="48">
        <f t="shared" si="18"/>
        <v>4.3728224220205938</v>
      </c>
      <c r="W14" s="44">
        <f t="shared" si="19"/>
        <v>-145.55705801736792</v>
      </c>
      <c r="X14" s="45">
        <f t="shared" si="20"/>
        <v>2.6291708177598396</v>
      </c>
      <c r="Y14" s="46">
        <f t="shared" si="21"/>
        <v>-41.782054522112809</v>
      </c>
      <c r="Z14" s="45">
        <f t="shared" si="22"/>
        <v>26.919421607117513</v>
      </c>
      <c r="AA14" s="8"/>
      <c r="AB14" s="38">
        <f t="shared" si="23"/>
        <v>7.336369999999999E-2</v>
      </c>
      <c r="AC14" s="12">
        <f t="shared" si="24"/>
        <v>2.3024653136169463E-3</v>
      </c>
      <c r="AD14" s="12">
        <f t="shared" si="25"/>
        <v>2.8857123282346854E-3</v>
      </c>
      <c r="AE14" s="12">
        <f t="shared" si="26"/>
        <v>-0.20374384308141238</v>
      </c>
      <c r="AF14" s="12">
        <f t="shared" si="27"/>
        <v>2.169870659613602E-3</v>
      </c>
      <c r="AG14" s="12">
        <f t="shared" si="28"/>
        <v>9.1999999999999998E-2</v>
      </c>
      <c r="AH14" s="12">
        <f t="shared" si="29"/>
        <v>1.3416407864998738E-3</v>
      </c>
      <c r="AI14" s="12">
        <f t="shared" si="30"/>
        <v>-0.115</v>
      </c>
      <c r="AJ14" s="12">
        <f t="shared" si="31"/>
        <v>8.9442719099991591E-4</v>
      </c>
      <c r="AK14" s="12">
        <f t="shared" si="32"/>
        <v>-0.10829999999999999</v>
      </c>
      <c r="AL14" s="42">
        <f t="shared" si="33"/>
        <v>2.4899999999999999E-2</v>
      </c>
      <c r="AM14" s="8"/>
      <c r="AN14" s="38">
        <f t="shared" si="34"/>
        <v>-0.14532754526208419</v>
      </c>
      <c r="AO14" s="12">
        <f t="shared" si="48"/>
        <v>2.6655416817776669E-3</v>
      </c>
      <c r="AP14" s="12">
        <f t="shared" si="35"/>
        <v>-0.13048827664490231</v>
      </c>
      <c r="AQ14" s="12">
        <f t="shared" si="36"/>
        <v>2.5991858987824204E-3</v>
      </c>
      <c r="AR14" s="12">
        <f t="shared" si="37"/>
        <v>-0.14081379440817055</v>
      </c>
      <c r="AS14" s="12">
        <f t="shared" si="38"/>
        <v>4.372822422020594E-3</v>
      </c>
      <c r="AT14" s="12">
        <f t="shared" si="39"/>
        <v>-0.14555705801736793</v>
      </c>
      <c r="AU14" s="12">
        <f t="shared" si="40"/>
        <v>2.6291708177598396E-3</v>
      </c>
      <c r="AV14" s="12">
        <f t="shared" si="41"/>
        <v>-4.178205452211281E-2</v>
      </c>
      <c r="AW14" s="42">
        <f t="shared" si="42"/>
        <v>2.6919421607117515E-2</v>
      </c>
      <c r="AX14" s="8"/>
      <c r="AY14" s="38"/>
      <c r="AZ14" s="12">
        <f t="shared" si="43"/>
        <v>0.83674375811783774</v>
      </c>
      <c r="BA14" s="12">
        <f t="shared" si="44"/>
        <v>1.0353991423728812</v>
      </c>
      <c r="BB14" s="12">
        <f t="shared" si="45"/>
        <v>-6.747933533208364E-2</v>
      </c>
      <c r="BC14" s="42">
        <f t="shared" si="46"/>
        <v>3.3898305084745735E-2</v>
      </c>
    </row>
    <row r="15" spans="1:55">
      <c r="A15" s="22">
        <v>6</v>
      </c>
      <c r="B15" s="23" t="s">
        <v>192</v>
      </c>
      <c r="C15" s="24">
        <v>72.729060000000004</v>
      </c>
      <c r="D15" s="24">
        <v>2.3024653136169464</v>
      </c>
      <c r="E15" s="3">
        <v>3</v>
      </c>
      <c r="F15" s="3">
        <v>-203.74384308141239</v>
      </c>
      <c r="G15" s="3">
        <v>2.1698706596136019</v>
      </c>
      <c r="H15" s="3">
        <v>92</v>
      </c>
      <c r="I15" s="3">
        <f t="shared" si="10"/>
        <v>1.3416407864998738</v>
      </c>
      <c r="J15" s="3">
        <v>-115</v>
      </c>
      <c r="K15" s="3">
        <f t="shared" si="11"/>
        <v>0.89442719099991586</v>
      </c>
      <c r="L15" s="3">
        <f t="shared" si="47"/>
        <v>0.95161290322580649</v>
      </c>
      <c r="M15" s="3">
        <f t="shared" si="12"/>
        <v>0.4</v>
      </c>
      <c r="N15" s="3">
        <v>-108.3</v>
      </c>
      <c r="O15" s="34">
        <v>24.9</v>
      </c>
      <c r="Q15" s="47">
        <f t="shared" si="13"/>
        <v>-145.83288126951103</v>
      </c>
      <c r="R15" s="48">
        <f t="shared" si="14"/>
        <v>2.5570496697327041</v>
      </c>
      <c r="S15" s="48">
        <f t="shared" si="15"/>
        <v>-130.4882766449023</v>
      </c>
      <c r="T15" s="48">
        <f t="shared" si="16"/>
        <v>2.5991858987824203</v>
      </c>
      <c r="U15" s="48">
        <f t="shared" si="17"/>
        <v>-140.81379440817054</v>
      </c>
      <c r="V15" s="48">
        <f t="shared" si="18"/>
        <v>4.3728224220205938</v>
      </c>
      <c r="W15" s="44">
        <f t="shared" si="19"/>
        <v>-146.08808907601983</v>
      </c>
      <c r="X15" s="45">
        <f t="shared" si="20"/>
        <v>2.507473762674437</v>
      </c>
      <c r="Y15" s="46">
        <f t="shared" si="21"/>
        <v>-42.377581110261239</v>
      </c>
      <c r="Z15" s="45">
        <f t="shared" si="22"/>
        <v>26.888276711734061</v>
      </c>
      <c r="AA15" s="8"/>
      <c r="AB15" s="38">
        <f t="shared" si="23"/>
        <v>7.2729059999999998E-2</v>
      </c>
      <c r="AC15" s="12">
        <f t="shared" si="24"/>
        <v>2.3024653136169463E-3</v>
      </c>
      <c r="AD15" s="12">
        <f t="shared" si="25"/>
        <v>2.5980538928453978E-3</v>
      </c>
      <c r="AE15" s="12">
        <f t="shared" si="26"/>
        <v>-0.20374384308141238</v>
      </c>
      <c r="AF15" s="12">
        <f t="shared" si="27"/>
        <v>2.169870659613602E-3</v>
      </c>
      <c r="AG15" s="12">
        <f t="shared" si="28"/>
        <v>9.1999999999999998E-2</v>
      </c>
      <c r="AH15" s="12">
        <f t="shared" si="29"/>
        <v>1.3416407864998738E-3</v>
      </c>
      <c r="AI15" s="12">
        <f t="shared" si="30"/>
        <v>-0.115</v>
      </c>
      <c r="AJ15" s="12">
        <f t="shared" si="31"/>
        <v>8.9442719099991591E-4</v>
      </c>
      <c r="AK15" s="12">
        <f t="shared" si="32"/>
        <v>-0.10829999999999999</v>
      </c>
      <c r="AL15" s="42">
        <f t="shared" si="33"/>
        <v>2.4899999999999999E-2</v>
      </c>
      <c r="AM15" s="8"/>
      <c r="AN15" s="38">
        <f t="shared" si="34"/>
        <v>-0.14583288126951102</v>
      </c>
      <c r="AO15" s="12">
        <f t="shared" si="48"/>
        <v>2.5570496697327042E-3</v>
      </c>
      <c r="AP15" s="12">
        <f t="shared" si="35"/>
        <v>-0.13048827664490231</v>
      </c>
      <c r="AQ15" s="12">
        <f t="shared" si="36"/>
        <v>2.5991858987824204E-3</v>
      </c>
      <c r="AR15" s="12">
        <f t="shared" si="37"/>
        <v>-0.14081379440817055</v>
      </c>
      <c r="AS15" s="12">
        <f t="shared" si="38"/>
        <v>4.372822422020594E-3</v>
      </c>
      <c r="AT15" s="12">
        <f t="shared" si="39"/>
        <v>-0.14608808907601983</v>
      </c>
      <c r="AU15" s="12">
        <f t="shared" si="40"/>
        <v>2.5074737626744371E-3</v>
      </c>
      <c r="AV15" s="12">
        <f t="shared" si="41"/>
        <v>-4.2377581110261242E-2</v>
      </c>
      <c r="AW15" s="42">
        <f t="shared" si="42"/>
        <v>2.688827671173406E-2</v>
      </c>
      <c r="AX15" s="8"/>
      <c r="AY15" s="38"/>
      <c r="AZ15" s="12">
        <f t="shared" si="43"/>
        <v>0.83674375811783774</v>
      </c>
      <c r="BA15" s="12">
        <f t="shared" si="44"/>
        <v>1.0347322325423727</v>
      </c>
      <c r="BB15" s="12">
        <f t="shared" si="45"/>
        <v>-6.747933533208364E-2</v>
      </c>
      <c r="BC15" s="42">
        <f t="shared" si="46"/>
        <v>3.3898305084745735E-2</v>
      </c>
    </row>
    <row r="16" spans="1:55">
      <c r="A16" s="22">
        <v>7</v>
      </c>
      <c r="B16" s="23" t="s">
        <v>192</v>
      </c>
      <c r="C16" s="24">
        <v>61.821680000000001</v>
      </c>
      <c r="D16" s="24">
        <v>2.3024653136169464</v>
      </c>
      <c r="E16" s="3">
        <v>3</v>
      </c>
      <c r="F16" s="3">
        <v>-203.74384308141239</v>
      </c>
      <c r="G16" s="3">
        <v>2.1698706596136019</v>
      </c>
      <c r="H16" s="3">
        <v>92</v>
      </c>
      <c r="I16" s="3">
        <f t="shared" si="10"/>
        <v>1.3416407864998738</v>
      </c>
      <c r="J16" s="3">
        <v>-115</v>
      </c>
      <c r="K16" s="3">
        <f t="shared" si="11"/>
        <v>0.89442719099991586</v>
      </c>
      <c r="L16" s="3">
        <f t="shared" si="47"/>
        <v>0.95161290322580649</v>
      </c>
      <c r="M16" s="3">
        <f t="shared" si="12"/>
        <v>0.4</v>
      </c>
      <c r="N16" s="3">
        <v>-108.3</v>
      </c>
      <c r="O16" s="34">
        <v>24.9</v>
      </c>
      <c r="Q16" s="47">
        <f t="shared" si="13"/>
        <v>-154.51794975036165</v>
      </c>
      <c r="R16" s="48">
        <f t="shared" si="14"/>
        <v>2.5355239687171123</v>
      </c>
      <c r="S16" s="48">
        <f t="shared" si="15"/>
        <v>-130.4882766449023</v>
      </c>
      <c r="T16" s="48">
        <f t="shared" si="16"/>
        <v>2.5991858987824203</v>
      </c>
      <c r="U16" s="48">
        <f t="shared" si="17"/>
        <v>-140.81379440817054</v>
      </c>
      <c r="V16" s="48">
        <f t="shared" si="18"/>
        <v>4.3728224220205938</v>
      </c>
      <c r="W16" s="44">
        <f t="shared" si="19"/>
        <v>-155.21477120843915</v>
      </c>
      <c r="X16" s="45">
        <f t="shared" si="20"/>
        <v>2.4852284741486588</v>
      </c>
      <c r="Y16" s="46">
        <f t="shared" si="21"/>
        <v>-52.612729851339246</v>
      </c>
      <c r="Z16" s="45">
        <f t="shared" si="22"/>
        <v>26.601427241621391</v>
      </c>
      <c r="AA16" s="8"/>
      <c r="AB16" s="38">
        <f t="shared" si="23"/>
        <v>6.1821680000000004E-2</v>
      </c>
      <c r="AC16" s="12">
        <f t="shared" si="24"/>
        <v>2.3024653136169463E-3</v>
      </c>
      <c r="AD16" s="12">
        <f t="shared" si="25"/>
        <v>2.5980538928453978E-3</v>
      </c>
      <c r="AE16" s="12">
        <f t="shared" si="26"/>
        <v>-0.20374384308141238</v>
      </c>
      <c r="AF16" s="12">
        <f t="shared" si="27"/>
        <v>2.169870659613602E-3</v>
      </c>
      <c r="AG16" s="12">
        <f t="shared" si="28"/>
        <v>9.1999999999999998E-2</v>
      </c>
      <c r="AH16" s="12">
        <f t="shared" si="29"/>
        <v>1.3416407864998738E-3</v>
      </c>
      <c r="AI16" s="12">
        <f t="shared" si="30"/>
        <v>-0.115</v>
      </c>
      <c r="AJ16" s="12">
        <f t="shared" si="31"/>
        <v>8.9442719099991591E-4</v>
      </c>
      <c r="AK16" s="12">
        <f t="shared" si="32"/>
        <v>-0.10829999999999999</v>
      </c>
      <c r="AL16" s="42">
        <f t="shared" si="33"/>
        <v>2.4899999999999999E-2</v>
      </c>
      <c r="AM16" s="8"/>
      <c r="AN16" s="38">
        <f t="shared" si="34"/>
        <v>-0.15451794975036165</v>
      </c>
      <c r="AO16" s="12">
        <f t="shared" si="48"/>
        <v>2.5355239687171122E-3</v>
      </c>
      <c r="AP16" s="12">
        <f t="shared" si="35"/>
        <v>-0.13048827664490231</v>
      </c>
      <c r="AQ16" s="12">
        <f t="shared" si="36"/>
        <v>2.5991858987824204E-3</v>
      </c>
      <c r="AR16" s="12">
        <f t="shared" si="37"/>
        <v>-0.14081379440817055</v>
      </c>
      <c r="AS16" s="12">
        <f t="shared" si="38"/>
        <v>4.372822422020594E-3</v>
      </c>
      <c r="AT16" s="12">
        <f t="shared" si="39"/>
        <v>-0.15521477120843916</v>
      </c>
      <c r="AU16" s="12">
        <f t="shared" si="40"/>
        <v>2.4852284741486586E-3</v>
      </c>
      <c r="AV16" s="12">
        <f t="shared" si="41"/>
        <v>-5.2612729851339246E-2</v>
      </c>
      <c r="AW16" s="42">
        <f t="shared" si="42"/>
        <v>2.660142724162139E-2</v>
      </c>
      <c r="AX16" s="8"/>
      <c r="AY16" s="38"/>
      <c r="AZ16" s="12">
        <f t="shared" si="43"/>
        <v>0.83674375811783774</v>
      </c>
      <c r="BA16" s="12">
        <f t="shared" si="44"/>
        <v>1.0232702399999998</v>
      </c>
      <c r="BB16" s="12">
        <f t="shared" si="45"/>
        <v>-6.747933533208364E-2</v>
      </c>
      <c r="BC16" s="42">
        <f t="shared" si="46"/>
        <v>3.3898305084745735E-2</v>
      </c>
    </row>
    <row r="17" spans="1:55">
      <c r="A17" s="22">
        <v>8</v>
      </c>
      <c r="B17" s="23" t="s">
        <v>192</v>
      </c>
      <c r="C17" s="24">
        <v>65.705719999999999</v>
      </c>
      <c r="D17" s="24">
        <v>2.3024653136169464</v>
      </c>
      <c r="E17" s="3">
        <v>3</v>
      </c>
      <c r="F17" s="3">
        <v>-203.74384308141239</v>
      </c>
      <c r="G17" s="3">
        <v>2.1698706596136019</v>
      </c>
      <c r="H17" s="3">
        <v>92</v>
      </c>
      <c r="I17" s="3">
        <f t="shared" si="10"/>
        <v>1.3416407864998738</v>
      </c>
      <c r="J17" s="3">
        <v>-115</v>
      </c>
      <c r="K17" s="3">
        <f t="shared" si="11"/>
        <v>0.89442719099991586</v>
      </c>
      <c r="L17" s="3">
        <f t="shared" si="47"/>
        <v>0.95161290322580649</v>
      </c>
      <c r="M17" s="3">
        <f t="shared" si="12"/>
        <v>0.4</v>
      </c>
      <c r="N17" s="3">
        <v>-108.3</v>
      </c>
      <c r="O17" s="34">
        <v>24.9</v>
      </c>
      <c r="Q17" s="47">
        <f t="shared" si="13"/>
        <v>-151.4252589866436</v>
      </c>
      <c r="R17" s="48">
        <f t="shared" si="14"/>
        <v>2.5431847532084895</v>
      </c>
      <c r="S17" s="48">
        <f t="shared" si="15"/>
        <v>-130.4882766449023</v>
      </c>
      <c r="T17" s="48">
        <f t="shared" si="16"/>
        <v>2.5991858987824203</v>
      </c>
      <c r="U17" s="48">
        <f t="shared" si="17"/>
        <v>-140.81379440817054</v>
      </c>
      <c r="V17" s="48">
        <f t="shared" si="18"/>
        <v>4.3728224220205938</v>
      </c>
      <c r="W17" s="44">
        <f t="shared" si="19"/>
        <v>-151.96482498215917</v>
      </c>
      <c r="X17" s="45">
        <f t="shared" si="20"/>
        <v>2.4931441733037998</v>
      </c>
      <c r="Y17" s="46">
        <f t="shared" si="21"/>
        <v>-48.968066594324512</v>
      </c>
      <c r="Z17" s="45">
        <f t="shared" si="22"/>
        <v>26.703571506174402</v>
      </c>
      <c r="AA17" s="8"/>
      <c r="AB17" s="38">
        <f t="shared" si="23"/>
        <v>6.5705719999999995E-2</v>
      </c>
      <c r="AC17" s="12">
        <f t="shared" si="24"/>
        <v>2.3024653136169463E-3</v>
      </c>
      <c r="AD17" s="12">
        <f t="shared" si="25"/>
        <v>2.5980538928453978E-3</v>
      </c>
      <c r="AE17" s="12">
        <f t="shared" si="26"/>
        <v>-0.20374384308141238</v>
      </c>
      <c r="AF17" s="12">
        <f t="shared" si="27"/>
        <v>2.169870659613602E-3</v>
      </c>
      <c r="AG17" s="12">
        <f t="shared" si="28"/>
        <v>9.1999999999999998E-2</v>
      </c>
      <c r="AH17" s="12">
        <f t="shared" si="29"/>
        <v>1.3416407864998738E-3</v>
      </c>
      <c r="AI17" s="12">
        <f t="shared" si="30"/>
        <v>-0.115</v>
      </c>
      <c r="AJ17" s="12">
        <f t="shared" si="31"/>
        <v>8.9442719099991591E-4</v>
      </c>
      <c r="AK17" s="12">
        <f t="shared" si="32"/>
        <v>-0.10829999999999999</v>
      </c>
      <c r="AL17" s="42">
        <f t="shared" si="33"/>
        <v>2.4899999999999999E-2</v>
      </c>
      <c r="AM17" s="8"/>
      <c r="AN17" s="38">
        <f t="shared" si="34"/>
        <v>-0.15142525898664361</v>
      </c>
      <c r="AO17" s="12">
        <f t="shared" si="48"/>
        <v>2.5431847532084895E-3</v>
      </c>
      <c r="AP17" s="12">
        <f t="shared" si="35"/>
        <v>-0.13048827664490231</v>
      </c>
      <c r="AQ17" s="12">
        <f t="shared" si="36"/>
        <v>2.5991858987824204E-3</v>
      </c>
      <c r="AR17" s="12">
        <f t="shared" si="37"/>
        <v>-0.14081379440817055</v>
      </c>
      <c r="AS17" s="12">
        <f t="shared" si="38"/>
        <v>4.372822422020594E-3</v>
      </c>
      <c r="AT17" s="12">
        <f t="shared" si="39"/>
        <v>-0.15196482498215916</v>
      </c>
      <c r="AU17" s="12">
        <f t="shared" si="40"/>
        <v>2.4931441733037998E-3</v>
      </c>
      <c r="AV17" s="12">
        <f t="shared" si="41"/>
        <v>-4.8968066594324511E-2</v>
      </c>
      <c r="AW17" s="42">
        <f t="shared" si="42"/>
        <v>2.6703571506174403E-2</v>
      </c>
      <c r="AX17" s="8"/>
      <c r="AY17" s="38"/>
      <c r="AZ17" s="12">
        <f t="shared" si="43"/>
        <v>0.83674375811783774</v>
      </c>
      <c r="BA17" s="12">
        <f t="shared" si="44"/>
        <v>1.0273517735593218</v>
      </c>
      <c r="BB17" s="12">
        <f t="shared" si="45"/>
        <v>-6.747933533208364E-2</v>
      </c>
      <c r="BC17" s="42">
        <f t="shared" si="46"/>
        <v>3.3898305084745735E-2</v>
      </c>
    </row>
    <row r="18" spans="1:55">
      <c r="A18" s="22">
        <v>9</v>
      </c>
      <c r="B18" s="23" t="s">
        <v>192</v>
      </c>
      <c r="C18" s="24">
        <v>66.012200000000007</v>
      </c>
      <c r="D18" s="24">
        <v>2.3024653136169464</v>
      </c>
      <c r="E18" s="3">
        <v>3</v>
      </c>
      <c r="F18" s="3">
        <v>-203.74384308141239</v>
      </c>
      <c r="G18" s="3">
        <v>2.1698706596136019</v>
      </c>
      <c r="H18" s="3">
        <v>92</v>
      </c>
      <c r="I18" s="3">
        <f t="shared" si="10"/>
        <v>1.3416407864998738</v>
      </c>
      <c r="J18" s="3">
        <v>-115</v>
      </c>
      <c r="K18" s="3">
        <f t="shared" si="11"/>
        <v>0.89442719099991586</v>
      </c>
      <c r="L18" s="3">
        <f t="shared" si="47"/>
        <v>0.95161290322580649</v>
      </c>
      <c r="M18" s="3">
        <f t="shared" si="12"/>
        <v>0.4</v>
      </c>
      <c r="N18" s="3">
        <v>-108.3</v>
      </c>
      <c r="O18" s="34">
        <v>24.9</v>
      </c>
      <c r="Q18" s="47">
        <f t="shared" si="13"/>
        <v>-151.18122239967119</v>
      </c>
      <c r="R18" s="48">
        <f t="shared" si="14"/>
        <v>2.5437894533000645</v>
      </c>
      <c r="S18" s="48">
        <f t="shared" si="15"/>
        <v>-130.4882766449023</v>
      </c>
      <c r="T18" s="48">
        <f t="shared" si="16"/>
        <v>2.5991858987824203</v>
      </c>
      <c r="U18" s="48">
        <f t="shared" si="17"/>
        <v>-140.81379440817054</v>
      </c>
      <c r="V18" s="48">
        <f t="shared" si="18"/>
        <v>4.3728224220205938</v>
      </c>
      <c r="W18" s="44">
        <f t="shared" si="19"/>
        <v>-151.70837975517119</v>
      </c>
      <c r="X18" s="45">
        <f t="shared" si="20"/>
        <v>2.4937690508784041</v>
      </c>
      <c r="Y18" s="46">
        <f t="shared" si="21"/>
        <v>-48.680475221679174</v>
      </c>
      <c r="Z18" s="45">
        <f t="shared" si="22"/>
        <v>26.711631494684831</v>
      </c>
      <c r="AA18" s="8"/>
      <c r="AB18" s="38">
        <f t="shared" si="23"/>
        <v>6.6012200000000007E-2</v>
      </c>
      <c r="AC18" s="12">
        <f t="shared" si="24"/>
        <v>2.3024653136169463E-3</v>
      </c>
      <c r="AD18" s="12">
        <f t="shared" si="25"/>
        <v>2.5980538928453978E-3</v>
      </c>
      <c r="AE18" s="12">
        <f t="shared" si="26"/>
        <v>-0.20374384308141238</v>
      </c>
      <c r="AF18" s="12">
        <f t="shared" si="27"/>
        <v>2.169870659613602E-3</v>
      </c>
      <c r="AG18" s="12">
        <f t="shared" si="28"/>
        <v>9.1999999999999998E-2</v>
      </c>
      <c r="AH18" s="12">
        <f t="shared" si="29"/>
        <v>1.3416407864998738E-3</v>
      </c>
      <c r="AI18" s="12">
        <f t="shared" si="30"/>
        <v>-0.115</v>
      </c>
      <c r="AJ18" s="12">
        <f t="shared" si="31"/>
        <v>8.9442719099991591E-4</v>
      </c>
      <c r="AK18" s="12">
        <f t="shared" si="32"/>
        <v>-0.10829999999999999</v>
      </c>
      <c r="AL18" s="42">
        <f t="shared" si="33"/>
        <v>2.4899999999999999E-2</v>
      </c>
      <c r="AM18" s="8"/>
      <c r="AN18" s="38">
        <f t="shared" si="34"/>
        <v>-0.15118122239967119</v>
      </c>
      <c r="AO18" s="12">
        <f t="shared" si="48"/>
        <v>2.5437894533000644E-3</v>
      </c>
      <c r="AP18" s="12">
        <f t="shared" si="35"/>
        <v>-0.13048827664490231</v>
      </c>
      <c r="AQ18" s="12">
        <f t="shared" si="36"/>
        <v>2.5991858987824204E-3</v>
      </c>
      <c r="AR18" s="12">
        <f t="shared" si="37"/>
        <v>-0.14081379440817055</v>
      </c>
      <c r="AS18" s="12">
        <f t="shared" si="38"/>
        <v>4.372822422020594E-3</v>
      </c>
      <c r="AT18" s="12">
        <f t="shared" si="39"/>
        <v>-0.15170837975517121</v>
      </c>
      <c r="AU18" s="12">
        <f t="shared" si="40"/>
        <v>2.4937690508784042E-3</v>
      </c>
      <c r="AV18" s="12">
        <f t="shared" si="41"/>
        <v>-4.8680475221679176E-2</v>
      </c>
      <c r="AW18" s="42">
        <f t="shared" si="42"/>
        <v>2.6711631494684831E-2</v>
      </c>
      <c r="AX18" s="8"/>
      <c r="AY18" s="38"/>
      <c r="AZ18" s="12">
        <f t="shared" si="43"/>
        <v>0.83674375811783774</v>
      </c>
      <c r="BA18" s="12">
        <f t="shared" si="44"/>
        <v>1.0276738372881355</v>
      </c>
      <c r="BB18" s="12">
        <f t="shared" si="45"/>
        <v>-6.747933533208364E-2</v>
      </c>
      <c r="BC18" s="42">
        <f t="shared" si="46"/>
        <v>3.3898305084745735E-2</v>
      </c>
    </row>
    <row r="19" spans="1:55">
      <c r="A19" s="22">
        <v>10</v>
      </c>
      <c r="B19" s="23" t="s">
        <v>192</v>
      </c>
      <c r="C19" s="24">
        <v>68.032730000000001</v>
      </c>
      <c r="D19" s="24">
        <v>2.3024653136169464</v>
      </c>
      <c r="E19" s="3">
        <v>2</v>
      </c>
      <c r="F19" s="3">
        <v>-203.74384308141239</v>
      </c>
      <c r="G19" s="3">
        <v>2.1698706596136019</v>
      </c>
      <c r="H19" s="3">
        <v>92</v>
      </c>
      <c r="I19" s="3">
        <f t="shared" si="10"/>
        <v>1.3416407864998738</v>
      </c>
      <c r="J19" s="3">
        <v>-115</v>
      </c>
      <c r="K19" s="3">
        <f t="shared" si="11"/>
        <v>0.89442719099991586</v>
      </c>
      <c r="L19" s="3">
        <f t="shared" si="47"/>
        <v>0.95161290322580649</v>
      </c>
      <c r="M19" s="3">
        <f t="shared" si="12"/>
        <v>0.4</v>
      </c>
      <c r="N19" s="3">
        <v>-108.3</v>
      </c>
      <c r="O19" s="34">
        <v>24.9</v>
      </c>
      <c r="Q19" s="47">
        <f t="shared" si="13"/>
        <v>-149.57236294693246</v>
      </c>
      <c r="R19" s="48">
        <f t="shared" si="14"/>
        <v>2.6554403364920494</v>
      </c>
      <c r="S19" s="48">
        <f t="shared" si="15"/>
        <v>-130.4882766449023</v>
      </c>
      <c r="T19" s="48">
        <f t="shared" si="16"/>
        <v>2.5991858987824203</v>
      </c>
      <c r="U19" s="48">
        <f t="shared" si="17"/>
        <v>-140.81379440817054</v>
      </c>
      <c r="V19" s="48">
        <f t="shared" si="18"/>
        <v>4.3728224220205938</v>
      </c>
      <c r="W19" s="44">
        <f t="shared" si="19"/>
        <v>-150.01771388958136</v>
      </c>
      <c r="X19" s="45">
        <f t="shared" si="20"/>
        <v>2.6187911306692522</v>
      </c>
      <c r="Y19" s="46">
        <f t="shared" si="21"/>
        <v>-46.784472232344164</v>
      </c>
      <c r="Z19" s="45">
        <f t="shared" si="22"/>
        <v>26.779298877708825</v>
      </c>
      <c r="AA19" s="8"/>
      <c r="AB19" s="38">
        <f t="shared" si="23"/>
        <v>6.803273E-2</v>
      </c>
      <c r="AC19" s="12">
        <f t="shared" si="24"/>
        <v>2.3024653136169463E-3</v>
      </c>
      <c r="AD19" s="12">
        <f t="shared" si="25"/>
        <v>2.8857123282346854E-3</v>
      </c>
      <c r="AE19" s="12">
        <f t="shared" si="26"/>
        <v>-0.20374384308141238</v>
      </c>
      <c r="AF19" s="12">
        <f t="shared" si="27"/>
        <v>2.169870659613602E-3</v>
      </c>
      <c r="AG19" s="12">
        <f t="shared" si="28"/>
        <v>9.1999999999999998E-2</v>
      </c>
      <c r="AH19" s="12">
        <f t="shared" si="29"/>
        <v>1.3416407864998738E-3</v>
      </c>
      <c r="AI19" s="12">
        <f t="shared" si="30"/>
        <v>-0.115</v>
      </c>
      <c r="AJ19" s="12">
        <f t="shared" si="31"/>
        <v>8.9442719099991591E-4</v>
      </c>
      <c r="AK19" s="12">
        <f t="shared" si="32"/>
        <v>-0.10829999999999999</v>
      </c>
      <c r="AL19" s="42">
        <f t="shared" si="33"/>
        <v>2.4899999999999999E-2</v>
      </c>
      <c r="AM19" s="8"/>
      <c r="AN19" s="38">
        <f t="shared" si="34"/>
        <v>-0.14957236294693246</v>
      </c>
      <c r="AO19" s="12">
        <f t="shared" si="48"/>
        <v>2.6554403364920493E-3</v>
      </c>
      <c r="AP19" s="12">
        <f t="shared" si="35"/>
        <v>-0.13048827664490231</v>
      </c>
      <c r="AQ19" s="12">
        <f t="shared" si="36"/>
        <v>2.5991858987824204E-3</v>
      </c>
      <c r="AR19" s="12">
        <f t="shared" si="37"/>
        <v>-0.14081379440817055</v>
      </c>
      <c r="AS19" s="12">
        <f t="shared" si="38"/>
        <v>4.372822422020594E-3</v>
      </c>
      <c r="AT19" s="12">
        <f t="shared" si="39"/>
        <v>-0.15001771388958135</v>
      </c>
      <c r="AU19" s="12">
        <f t="shared" si="40"/>
        <v>2.618791130669252E-3</v>
      </c>
      <c r="AV19" s="12">
        <f t="shared" si="41"/>
        <v>-4.6784472232344165E-2</v>
      </c>
      <c r="AW19" s="42">
        <f t="shared" si="42"/>
        <v>2.6779298877708826E-2</v>
      </c>
      <c r="AX19" s="8"/>
      <c r="AY19" s="38"/>
      <c r="AZ19" s="12">
        <f t="shared" si="43"/>
        <v>0.83674375811783774</v>
      </c>
      <c r="BA19" s="12">
        <f t="shared" si="44"/>
        <v>1.0297971061016948</v>
      </c>
      <c r="BB19" s="12">
        <f t="shared" si="45"/>
        <v>-6.747933533208364E-2</v>
      </c>
      <c r="BC19" s="42">
        <f t="shared" si="46"/>
        <v>3.3898305084745735E-2</v>
      </c>
    </row>
    <row r="20" spans="1:55">
      <c r="A20" s="22">
        <v>11</v>
      </c>
      <c r="B20" s="23" t="s">
        <v>192</v>
      </c>
      <c r="C20" s="24">
        <v>72.368700000000004</v>
      </c>
      <c r="D20" s="24">
        <v>2.3024653136169464</v>
      </c>
      <c r="E20" s="3">
        <v>3</v>
      </c>
      <c r="F20" s="3">
        <v>-203.74384308141239</v>
      </c>
      <c r="G20" s="3">
        <v>2.1698706596136019</v>
      </c>
      <c r="H20" s="3">
        <v>92</v>
      </c>
      <c r="I20" s="3">
        <f t="shared" si="10"/>
        <v>1.3416407864998738</v>
      </c>
      <c r="J20" s="3">
        <v>-115</v>
      </c>
      <c r="K20" s="3">
        <f t="shared" si="11"/>
        <v>0.89442719099991586</v>
      </c>
      <c r="L20" s="3">
        <f t="shared" si="47"/>
        <v>0.95161290322580649</v>
      </c>
      <c r="M20" s="3">
        <f t="shared" si="12"/>
        <v>0.4</v>
      </c>
      <c r="N20" s="3">
        <v>-108.3</v>
      </c>
      <c r="O20" s="34">
        <v>24.9</v>
      </c>
      <c r="Q20" s="47">
        <f t="shared" si="13"/>
        <v>-146.11982013821819</v>
      </c>
      <c r="R20" s="48">
        <f t="shared" si="14"/>
        <v>2.5563378948612487</v>
      </c>
      <c r="S20" s="48">
        <f t="shared" si="15"/>
        <v>-130.4882766449023</v>
      </c>
      <c r="T20" s="48">
        <f t="shared" si="16"/>
        <v>2.5991858987824203</v>
      </c>
      <c r="U20" s="48">
        <f t="shared" si="17"/>
        <v>-140.81379440817054</v>
      </c>
      <c r="V20" s="48">
        <f t="shared" si="18"/>
        <v>4.3728224220205938</v>
      </c>
      <c r="W20" s="44">
        <f t="shared" si="19"/>
        <v>-146.38961805669518</v>
      </c>
      <c r="X20" s="45">
        <f t="shared" si="20"/>
        <v>2.506738030458183</v>
      </c>
      <c r="Y20" s="46">
        <f t="shared" si="21"/>
        <v>-42.715731811926894</v>
      </c>
      <c r="Z20" s="45">
        <f t="shared" si="22"/>
        <v>26.878799618915242</v>
      </c>
      <c r="AA20" s="8"/>
      <c r="AB20" s="38">
        <f t="shared" si="23"/>
        <v>7.2368700000000008E-2</v>
      </c>
      <c r="AC20" s="12">
        <f t="shared" si="24"/>
        <v>2.3024653136169463E-3</v>
      </c>
      <c r="AD20" s="12">
        <f t="shared" si="25"/>
        <v>2.5980538928453978E-3</v>
      </c>
      <c r="AE20" s="12">
        <f t="shared" si="26"/>
        <v>-0.20374384308141238</v>
      </c>
      <c r="AF20" s="12">
        <f t="shared" si="27"/>
        <v>2.169870659613602E-3</v>
      </c>
      <c r="AG20" s="12">
        <f t="shared" si="28"/>
        <v>9.1999999999999998E-2</v>
      </c>
      <c r="AH20" s="12">
        <f t="shared" si="29"/>
        <v>1.3416407864998738E-3</v>
      </c>
      <c r="AI20" s="12">
        <f t="shared" si="30"/>
        <v>-0.115</v>
      </c>
      <c r="AJ20" s="12">
        <f t="shared" si="31"/>
        <v>8.9442719099991591E-4</v>
      </c>
      <c r="AK20" s="12">
        <f t="shared" si="32"/>
        <v>-0.10829999999999999</v>
      </c>
      <c r="AL20" s="42">
        <f t="shared" si="33"/>
        <v>2.4899999999999999E-2</v>
      </c>
      <c r="AM20" s="8"/>
      <c r="AN20" s="38">
        <f t="shared" si="34"/>
        <v>-0.1461198201382182</v>
      </c>
      <c r="AO20" s="12">
        <f t="shared" si="48"/>
        <v>2.5563378948612486E-3</v>
      </c>
      <c r="AP20" s="12">
        <f t="shared" si="35"/>
        <v>-0.13048827664490231</v>
      </c>
      <c r="AQ20" s="12">
        <f t="shared" si="36"/>
        <v>2.5991858987824204E-3</v>
      </c>
      <c r="AR20" s="12">
        <f t="shared" si="37"/>
        <v>-0.14081379440817055</v>
      </c>
      <c r="AS20" s="12">
        <f t="shared" si="38"/>
        <v>4.372822422020594E-3</v>
      </c>
      <c r="AT20" s="12">
        <f t="shared" si="39"/>
        <v>-0.14638961805669518</v>
      </c>
      <c r="AU20" s="12">
        <f t="shared" si="40"/>
        <v>2.506738030458183E-3</v>
      </c>
      <c r="AV20" s="12">
        <f t="shared" si="41"/>
        <v>-4.2715731811926894E-2</v>
      </c>
      <c r="AW20" s="42">
        <f t="shared" si="42"/>
        <v>2.687879961891524E-2</v>
      </c>
      <c r="AX20" s="8"/>
      <c r="AY20" s="38"/>
      <c r="AZ20" s="12">
        <f t="shared" si="43"/>
        <v>0.83674375811783774</v>
      </c>
      <c r="BA20" s="12">
        <f t="shared" si="44"/>
        <v>1.0343535491525422</v>
      </c>
      <c r="BB20" s="12">
        <f t="shared" si="45"/>
        <v>-6.747933533208364E-2</v>
      </c>
      <c r="BC20" s="42">
        <f t="shared" si="46"/>
        <v>3.3898305084745735E-2</v>
      </c>
    </row>
    <row r="21" spans="1:55">
      <c r="A21" s="22">
        <v>12</v>
      </c>
      <c r="B21" s="23" t="s">
        <v>192</v>
      </c>
      <c r="C21" s="24">
        <v>68.835340000000002</v>
      </c>
      <c r="D21" s="24">
        <v>2.3024653136169464</v>
      </c>
      <c r="E21" s="3">
        <v>2</v>
      </c>
      <c r="F21" s="3">
        <v>-203.74384308141239</v>
      </c>
      <c r="G21" s="3">
        <v>2.1698706596136019</v>
      </c>
      <c r="H21" s="3">
        <v>92</v>
      </c>
      <c r="I21" s="3">
        <f t="shared" si="10"/>
        <v>1.3416407864998738</v>
      </c>
      <c r="J21" s="3">
        <v>-115</v>
      </c>
      <c r="K21" s="3">
        <f t="shared" si="11"/>
        <v>0.89442719099991586</v>
      </c>
      <c r="L21" s="3">
        <f t="shared" si="47"/>
        <v>0.95161290322580649</v>
      </c>
      <c r="M21" s="3">
        <f t="shared" si="12"/>
        <v>0.4</v>
      </c>
      <c r="N21" s="3">
        <v>-108.3</v>
      </c>
      <c r="O21" s="34">
        <v>24.9</v>
      </c>
      <c r="Q21" s="47">
        <f t="shared" si="13"/>
        <v>-148.93327979282805</v>
      </c>
      <c r="R21" s="48">
        <f t="shared" si="14"/>
        <v>2.6569603909365704</v>
      </c>
      <c r="S21" s="48">
        <f t="shared" si="15"/>
        <v>-130.4882766449023</v>
      </c>
      <c r="T21" s="48">
        <f t="shared" si="16"/>
        <v>2.5991858987824203</v>
      </c>
      <c r="U21" s="48">
        <f t="shared" si="17"/>
        <v>-140.81379440817054</v>
      </c>
      <c r="V21" s="48">
        <f t="shared" si="18"/>
        <v>4.3728224220205938</v>
      </c>
      <c r="W21" s="44">
        <f t="shared" si="19"/>
        <v>-149.34613498187844</v>
      </c>
      <c r="X21" s="45">
        <f t="shared" si="20"/>
        <v>2.6203528790936987</v>
      </c>
      <c r="Y21" s="46">
        <f t="shared" si="21"/>
        <v>-46.031327780507446</v>
      </c>
      <c r="Z21" s="45">
        <f t="shared" si="22"/>
        <v>26.800395054528714</v>
      </c>
      <c r="AA21" s="8"/>
      <c r="AB21" s="38">
        <f t="shared" si="23"/>
        <v>6.8835340000000009E-2</v>
      </c>
      <c r="AC21" s="12">
        <f t="shared" si="24"/>
        <v>2.3024653136169463E-3</v>
      </c>
      <c r="AD21" s="12">
        <f t="shared" si="25"/>
        <v>2.8857123282346854E-3</v>
      </c>
      <c r="AE21" s="12">
        <f t="shared" si="26"/>
        <v>-0.20374384308141238</v>
      </c>
      <c r="AF21" s="12">
        <f t="shared" si="27"/>
        <v>2.169870659613602E-3</v>
      </c>
      <c r="AG21" s="12">
        <f t="shared" si="28"/>
        <v>9.1999999999999998E-2</v>
      </c>
      <c r="AH21" s="12">
        <f t="shared" si="29"/>
        <v>1.3416407864998738E-3</v>
      </c>
      <c r="AI21" s="12">
        <f t="shared" si="30"/>
        <v>-0.115</v>
      </c>
      <c r="AJ21" s="12">
        <f t="shared" si="31"/>
        <v>8.9442719099991591E-4</v>
      </c>
      <c r="AK21" s="12">
        <f t="shared" si="32"/>
        <v>-0.10829999999999999</v>
      </c>
      <c r="AL21" s="42">
        <f t="shared" si="33"/>
        <v>2.4899999999999999E-2</v>
      </c>
      <c r="AM21" s="8"/>
      <c r="AN21" s="38">
        <f t="shared" si="34"/>
        <v>-0.14893327979282805</v>
      </c>
      <c r="AO21" s="12">
        <f t="shared" si="48"/>
        <v>2.6569603909365703E-3</v>
      </c>
      <c r="AP21" s="12">
        <f t="shared" si="35"/>
        <v>-0.13048827664490231</v>
      </c>
      <c r="AQ21" s="12">
        <f t="shared" si="36"/>
        <v>2.5991858987824204E-3</v>
      </c>
      <c r="AR21" s="12">
        <f t="shared" si="37"/>
        <v>-0.14081379440817055</v>
      </c>
      <c r="AS21" s="12">
        <f t="shared" si="38"/>
        <v>4.372822422020594E-3</v>
      </c>
      <c r="AT21" s="12">
        <f t="shared" si="39"/>
        <v>-0.14934613498187843</v>
      </c>
      <c r="AU21" s="12">
        <f t="shared" si="40"/>
        <v>2.6203528790936987E-3</v>
      </c>
      <c r="AV21" s="12">
        <f t="shared" si="41"/>
        <v>-4.6031327780507447E-2</v>
      </c>
      <c r="AW21" s="42">
        <f t="shared" si="42"/>
        <v>2.6800395054528713E-2</v>
      </c>
      <c r="AX21" s="8"/>
      <c r="AY21" s="38"/>
      <c r="AZ21" s="12">
        <f t="shared" si="43"/>
        <v>0.83674375811783774</v>
      </c>
      <c r="BA21" s="12">
        <f t="shared" si="44"/>
        <v>1.0306405267796608</v>
      </c>
      <c r="BB21" s="12">
        <f t="shared" si="45"/>
        <v>-6.747933533208364E-2</v>
      </c>
      <c r="BC21" s="42">
        <f t="shared" si="46"/>
        <v>3.3898305084745735E-2</v>
      </c>
    </row>
    <row r="22" spans="1:55">
      <c r="A22" s="22">
        <v>13</v>
      </c>
      <c r="B22" s="23" t="s">
        <v>192</v>
      </c>
      <c r="C22" s="24">
        <v>65.657309999999995</v>
      </c>
      <c r="D22" s="24">
        <v>2.3024653136169464</v>
      </c>
      <c r="E22" s="3">
        <v>3</v>
      </c>
      <c r="F22" s="3">
        <v>-203.74384308141239</v>
      </c>
      <c r="G22" s="3">
        <v>2.1698706596136019</v>
      </c>
      <c r="H22" s="3">
        <v>92</v>
      </c>
      <c r="I22" s="3">
        <f t="shared" si="10"/>
        <v>1.3416407864998738</v>
      </c>
      <c r="J22" s="3">
        <v>-115</v>
      </c>
      <c r="K22" s="3">
        <f t="shared" si="11"/>
        <v>0.89442719099991586</v>
      </c>
      <c r="L22" s="3">
        <f t="shared" si="47"/>
        <v>0.95161290322580649</v>
      </c>
      <c r="M22" s="3">
        <f t="shared" si="12"/>
        <v>0.4</v>
      </c>
      <c r="N22" s="3">
        <v>-108.3</v>
      </c>
      <c r="O22" s="34">
        <v>24.9</v>
      </c>
      <c r="Q22" s="47">
        <f t="shared" si="13"/>
        <v>-151.46380574720004</v>
      </c>
      <c r="R22" s="48">
        <f t="shared" si="14"/>
        <v>2.5430892406553531</v>
      </c>
      <c r="S22" s="48">
        <f t="shared" si="15"/>
        <v>-130.4882766449023</v>
      </c>
      <c r="T22" s="48">
        <f t="shared" si="16"/>
        <v>2.5991858987824203</v>
      </c>
      <c r="U22" s="48">
        <f t="shared" si="17"/>
        <v>-140.81379440817054</v>
      </c>
      <c r="V22" s="48">
        <f t="shared" si="18"/>
        <v>4.3728224220205938</v>
      </c>
      <c r="W22" s="44">
        <f t="shared" si="19"/>
        <v>-152.00533174748963</v>
      </c>
      <c r="X22" s="45">
        <f t="shared" si="20"/>
        <v>2.4930454744564714</v>
      </c>
      <c r="Y22" s="46">
        <f t="shared" si="21"/>
        <v>-49.013493044173686</v>
      </c>
      <c r="Z22" s="45">
        <f t="shared" si="22"/>
        <v>26.702298392454701</v>
      </c>
      <c r="AA22" s="8"/>
      <c r="AB22" s="38">
        <f t="shared" si="23"/>
        <v>6.5657309999999997E-2</v>
      </c>
      <c r="AC22" s="12">
        <f t="shared" si="24"/>
        <v>2.3024653136169463E-3</v>
      </c>
      <c r="AD22" s="12">
        <f t="shared" si="25"/>
        <v>2.5980538928453978E-3</v>
      </c>
      <c r="AE22" s="12">
        <f t="shared" si="26"/>
        <v>-0.20374384308141238</v>
      </c>
      <c r="AF22" s="12">
        <f t="shared" si="27"/>
        <v>2.169870659613602E-3</v>
      </c>
      <c r="AG22" s="12">
        <f t="shared" si="28"/>
        <v>9.1999999999999998E-2</v>
      </c>
      <c r="AH22" s="12">
        <f t="shared" si="29"/>
        <v>1.3416407864998738E-3</v>
      </c>
      <c r="AI22" s="12">
        <f t="shared" si="30"/>
        <v>-0.115</v>
      </c>
      <c r="AJ22" s="12">
        <f t="shared" si="31"/>
        <v>8.9442719099991591E-4</v>
      </c>
      <c r="AK22" s="12">
        <f t="shared" si="32"/>
        <v>-0.10829999999999999</v>
      </c>
      <c r="AL22" s="42">
        <f t="shared" si="33"/>
        <v>2.4899999999999999E-2</v>
      </c>
      <c r="AM22" s="8"/>
      <c r="AN22" s="38">
        <f t="shared" si="34"/>
        <v>-0.15146380574720003</v>
      </c>
      <c r="AO22" s="12">
        <f t="shared" si="48"/>
        <v>2.543089240655353E-3</v>
      </c>
      <c r="AP22" s="12">
        <f t="shared" si="35"/>
        <v>-0.13048827664490231</v>
      </c>
      <c r="AQ22" s="12">
        <f t="shared" si="36"/>
        <v>2.5991858987824204E-3</v>
      </c>
      <c r="AR22" s="12">
        <f t="shared" si="37"/>
        <v>-0.14081379440817055</v>
      </c>
      <c r="AS22" s="12">
        <f t="shared" si="38"/>
        <v>4.372822422020594E-3</v>
      </c>
      <c r="AT22" s="12">
        <f t="shared" si="39"/>
        <v>-0.15200533174748965</v>
      </c>
      <c r="AU22" s="12">
        <f t="shared" si="40"/>
        <v>2.4930454744564712E-3</v>
      </c>
      <c r="AV22" s="12">
        <f t="shared" si="41"/>
        <v>-4.9013493044173684E-2</v>
      </c>
      <c r="AW22" s="42">
        <f t="shared" si="42"/>
        <v>2.67022983924547E-2</v>
      </c>
      <c r="AX22" s="8"/>
      <c r="AY22" s="38"/>
      <c r="AZ22" s="12">
        <f t="shared" si="43"/>
        <v>0.83674375811783774</v>
      </c>
      <c r="BA22" s="12">
        <f t="shared" si="44"/>
        <v>1.0273009020338981</v>
      </c>
      <c r="BB22" s="12">
        <f t="shared" si="45"/>
        <v>-6.747933533208364E-2</v>
      </c>
      <c r="BC22" s="42">
        <f t="shared" si="46"/>
        <v>3.3898305084745735E-2</v>
      </c>
    </row>
    <row r="23" spans="1:55">
      <c r="A23" s="22">
        <v>14</v>
      </c>
      <c r="B23" s="23" t="s">
        <v>192</v>
      </c>
      <c r="C23" s="24">
        <v>68.481290000000001</v>
      </c>
      <c r="D23" s="24">
        <v>2.3024653136169464</v>
      </c>
      <c r="E23" s="3">
        <v>3</v>
      </c>
      <c r="F23" s="3">
        <v>-203.74384308141239</v>
      </c>
      <c r="G23" s="3">
        <v>2.1698706596136019</v>
      </c>
      <c r="H23" s="3">
        <v>92</v>
      </c>
      <c r="I23" s="3">
        <f t="shared" si="10"/>
        <v>1.3416407864998738</v>
      </c>
      <c r="J23" s="3">
        <v>-115</v>
      </c>
      <c r="K23" s="3">
        <f t="shared" si="11"/>
        <v>0.89442719099991586</v>
      </c>
      <c r="L23" s="3">
        <f t="shared" si="47"/>
        <v>0.95161290322580649</v>
      </c>
      <c r="M23" s="3">
        <f t="shared" si="12"/>
        <v>0.4</v>
      </c>
      <c r="N23" s="3">
        <v>-108.3</v>
      </c>
      <c r="O23" s="34">
        <v>24.9</v>
      </c>
      <c r="Q23" s="47">
        <f t="shared" si="13"/>
        <v>-149.21519428518511</v>
      </c>
      <c r="R23" s="48">
        <f t="shared" si="14"/>
        <v>2.5486621854214486</v>
      </c>
      <c r="S23" s="48">
        <f t="shared" si="15"/>
        <v>-130.4882766449023</v>
      </c>
      <c r="T23" s="48">
        <f t="shared" si="16"/>
        <v>2.5991858987824203</v>
      </c>
      <c r="U23" s="48">
        <f t="shared" si="17"/>
        <v>-140.81379440817054</v>
      </c>
      <c r="V23" s="48">
        <f t="shared" si="18"/>
        <v>4.3728224220205938</v>
      </c>
      <c r="W23" s="44">
        <f t="shared" si="19"/>
        <v>-149.64238410944006</v>
      </c>
      <c r="X23" s="45">
        <f t="shared" si="20"/>
        <v>2.4988046714973242</v>
      </c>
      <c r="Y23" s="46">
        <f t="shared" si="21"/>
        <v>-46.363557372928298</v>
      </c>
      <c r="Z23" s="45">
        <f t="shared" si="22"/>
        <v>26.776565249214045</v>
      </c>
      <c r="AA23" s="8"/>
      <c r="AB23" s="38">
        <f t="shared" si="23"/>
        <v>6.848129E-2</v>
      </c>
      <c r="AC23" s="12">
        <f t="shared" si="24"/>
        <v>2.3024653136169463E-3</v>
      </c>
      <c r="AD23" s="12">
        <f t="shared" si="25"/>
        <v>2.5980538928453978E-3</v>
      </c>
      <c r="AE23" s="12">
        <f t="shared" si="26"/>
        <v>-0.20374384308141238</v>
      </c>
      <c r="AF23" s="12">
        <f t="shared" si="27"/>
        <v>2.169870659613602E-3</v>
      </c>
      <c r="AG23" s="12">
        <f t="shared" si="28"/>
        <v>9.1999999999999998E-2</v>
      </c>
      <c r="AH23" s="12">
        <f t="shared" si="29"/>
        <v>1.3416407864998738E-3</v>
      </c>
      <c r="AI23" s="12">
        <f t="shared" si="30"/>
        <v>-0.115</v>
      </c>
      <c r="AJ23" s="12">
        <f t="shared" si="31"/>
        <v>8.9442719099991591E-4</v>
      </c>
      <c r="AK23" s="12">
        <f t="shared" si="32"/>
        <v>-0.10829999999999999</v>
      </c>
      <c r="AL23" s="42">
        <f t="shared" si="33"/>
        <v>2.4899999999999999E-2</v>
      </c>
      <c r="AM23" s="8"/>
      <c r="AN23" s="38">
        <f t="shared" si="34"/>
        <v>-0.14921519428518509</v>
      </c>
      <c r="AO23" s="12">
        <f t="shared" si="48"/>
        <v>2.5486621854214487E-3</v>
      </c>
      <c r="AP23" s="12">
        <f t="shared" si="35"/>
        <v>-0.13048827664490231</v>
      </c>
      <c r="AQ23" s="12">
        <f t="shared" si="36"/>
        <v>2.5991858987824204E-3</v>
      </c>
      <c r="AR23" s="12">
        <f t="shared" si="37"/>
        <v>-0.14081379440817055</v>
      </c>
      <c r="AS23" s="12">
        <f t="shared" si="38"/>
        <v>4.372822422020594E-3</v>
      </c>
      <c r="AT23" s="12">
        <f t="shared" si="39"/>
        <v>-0.14964238410944006</v>
      </c>
      <c r="AU23" s="12">
        <f t="shared" si="40"/>
        <v>2.4988046714973242E-3</v>
      </c>
      <c r="AV23" s="12">
        <f t="shared" si="41"/>
        <v>-4.6363557372928299E-2</v>
      </c>
      <c r="AW23" s="42">
        <f t="shared" si="42"/>
        <v>2.6776565249214044E-2</v>
      </c>
      <c r="AX23" s="8"/>
      <c r="AY23" s="38"/>
      <c r="AZ23" s="12">
        <f t="shared" si="43"/>
        <v>0.83674375811783774</v>
      </c>
      <c r="BA23" s="12">
        <f t="shared" si="44"/>
        <v>1.0302684742372881</v>
      </c>
      <c r="BB23" s="12">
        <f t="shared" si="45"/>
        <v>-6.747933533208364E-2</v>
      </c>
      <c r="BC23" s="42">
        <f t="shared" si="46"/>
        <v>3.3898305084745735E-2</v>
      </c>
    </row>
    <row r="24" spans="1:55">
      <c r="A24" s="22">
        <v>15</v>
      </c>
      <c r="B24" s="23" t="s">
        <v>192</v>
      </c>
      <c r="C24" s="24">
        <v>65.159170000000003</v>
      </c>
      <c r="D24" s="24">
        <v>2.3024653136169464</v>
      </c>
      <c r="E24" s="3">
        <v>4</v>
      </c>
      <c r="F24" s="3">
        <v>-203.74384308141239</v>
      </c>
      <c r="G24" s="3">
        <v>2.1698706596136019</v>
      </c>
      <c r="H24" s="3">
        <v>92</v>
      </c>
      <c r="I24" s="3">
        <f t="shared" si="10"/>
        <v>1.3416407864998738</v>
      </c>
      <c r="J24" s="3">
        <v>-115</v>
      </c>
      <c r="K24" s="3">
        <f t="shared" si="11"/>
        <v>0.89442719099991586</v>
      </c>
      <c r="L24" s="3">
        <f t="shared" si="47"/>
        <v>0.95161290322580649</v>
      </c>
      <c r="M24" s="3">
        <f t="shared" si="12"/>
        <v>0.4</v>
      </c>
      <c r="N24" s="3">
        <v>-108.3</v>
      </c>
      <c r="O24" s="34">
        <v>24.9</v>
      </c>
      <c r="Q24" s="47">
        <f t="shared" si="13"/>
        <v>-151.86045278920744</v>
      </c>
      <c r="R24" s="48">
        <f t="shared" si="14"/>
        <v>2.486404410348948</v>
      </c>
      <c r="S24" s="48">
        <f t="shared" si="15"/>
        <v>-130.4882766449023</v>
      </c>
      <c r="T24" s="48">
        <f t="shared" si="16"/>
        <v>2.5991858987824203</v>
      </c>
      <c r="U24" s="48">
        <f t="shared" si="17"/>
        <v>-140.81379440817054</v>
      </c>
      <c r="V24" s="48">
        <f t="shared" si="18"/>
        <v>4.3728224220205938</v>
      </c>
      <c r="W24" s="44">
        <f t="shared" si="19"/>
        <v>-152.42214728315847</v>
      </c>
      <c r="X24" s="45">
        <f t="shared" si="20"/>
        <v>2.4291780498818114</v>
      </c>
      <c r="Y24" s="46">
        <f t="shared" si="21"/>
        <v>-49.480932245327566</v>
      </c>
      <c r="Z24" s="45">
        <f t="shared" si="22"/>
        <v>26.681909396844386</v>
      </c>
      <c r="AA24" s="8"/>
      <c r="AB24" s="38">
        <f t="shared" si="23"/>
        <v>6.5159170000000002E-2</v>
      </c>
      <c r="AC24" s="12">
        <f t="shared" si="24"/>
        <v>2.3024653136169463E-3</v>
      </c>
      <c r="AD24" s="12">
        <f t="shared" si="25"/>
        <v>2.4991001842651762E-3</v>
      </c>
      <c r="AE24" s="12">
        <f t="shared" si="26"/>
        <v>-0.20374384308141238</v>
      </c>
      <c r="AF24" s="12">
        <f t="shared" si="27"/>
        <v>2.169870659613602E-3</v>
      </c>
      <c r="AG24" s="12">
        <f t="shared" si="28"/>
        <v>9.1999999999999998E-2</v>
      </c>
      <c r="AH24" s="12">
        <f t="shared" si="29"/>
        <v>1.3416407864998738E-3</v>
      </c>
      <c r="AI24" s="12">
        <f t="shared" si="30"/>
        <v>-0.115</v>
      </c>
      <c r="AJ24" s="12">
        <f t="shared" si="31"/>
        <v>8.9442719099991591E-4</v>
      </c>
      <c r="AK24" s="12">
        <f t="shared" si="32"/>
        <v>-0.10829999999999999</v>
      </c>
      <c r="AL24" s="42">
        <f t="shared" si="33"/>
        <v>2.4899999999999999E-2</v>
      </c>
      <c r="AM24" s="8"/>
      <c r="AN24" s="38">
        <f t="shared" si="34"/>
        <v>-0.15186045278920746</v>
      </c>
      <c r="AO24" s="12">
        <f t="shared" si="48"/>
        <v>2.4864044103489482E-3</v>
      </c>
      <c r="AP24" s="12">
        <f t="shared" si="35"/>
        <v>-0.13048827664490231</v>
      </c>
      <c r="AQ24" s="12">
        <f t="shared" si="36"/>
        <v>2.5991858987824204E-3</v>
      </c>
      <c r="AR24" s="12">
        <f t="shared" si="37"/>
        <v>-0.14081379440817055</v>
      </c>
      <c r="AS24" s="12">
        <f t="shared" si="38"/>
        <v>4.372822422020594E-3</v>
      </c>
      <c r="AT24" s="12">
        <f t="shared" si="39"/>
        <v>-0.15242214728315848</v>
      </c>
      <c r="AU24" s="12">
        <f t="shared" si="40"/>
        <v>2.4291780498818115E-3</v>
      </c>
      <c r="AV24" s="12">
        <f t="shared" si="41"/>
        <v>-4.9480932245327569E-2</v>
      </c>
      <c r="AW24" s="42">
        <f t="shared" si="42"/>
        <v>2.6681909396844387E-2</v>
      </c>
      <c r="AX24" s="8"/>
      <c r="AY24" s="38"/>
      <c r="AZ24" s="12">
        <f t="shared" si="43"/>
        <v>0.83674375811783774</v>
      </c>
      <c r="BA24" s="12">
        <f t="shared" si="44"/>
        <v>1.0267774328813559</v>
      </c>
      <c r="BB24" s="12">
        <f t="shared" si="45"/>
        <v>-6.747933533208364E-2</v>
      </c>
      <c r="BC24" s="42">
        <f t="shared" si="46"/>
        <v>3.3898305084745735E-2</v>
      </c>
    </row>
    <row r="25" spans="1:55">
      <c r="A25" s="22">
        <v>16</v>
      </c>
      <c r="B25" s="23" t="s">
        <v>192</v>
      </c>
      <c r="C25" s="24">
        <v>64.693449999999999</v>
      </c>
      <c r="D25" s="24">
        <v>2.3024653136169464</v>
      </c>
      <c r="E25" s="3">
        <v>2</v>
      </c>
      <c r="F25" s="3">
        <v>-203.74384308141239</v>
      </c>
      <c r="G25" s="3">
        <v>2.1698706596136019</v>
      </c>
      <c r="H25" s="3">
        <v>92</v>
      </c>
      <c r="I25" s="3">
        <f t="shared" si="10"/>
        <v>1.3416407864998738</v>
      </c>
      <c r="J25" s="3">
        <v>-115</v>
      </c>
      <c r="K25" s="3">
        <f t="shared" si="11"/>
        <v>0.89442719099991586</v>
      </c>
      <c r="L25" s="3">
        <f t="shared" si="47"/>
        <v>0.95161290322580649</v>
      </c>
      <c r="M25" s="3">
        <f t="shared" si="12"/>
        <v>0.4</v>
      </c>
      <c r="N25" s="3">
        <v>-108.3</v>
      </c>
      <c r="O25" s="34">
        <v>24.9</v>
      </c>
      <c r="Q25" s="47">
        <f t="shared" si="13"/>
        <v>-152.23128520660757</v>
      </c>
      <c r="R25" s="48">
        <f t="shared" si="14"/>
        <v>2.6491190377339815</v>
      </c>
      <c r="S25" s="48">
        <f t="shared" si="15"/>
        <v>-130.4882766449023</v>
      </c>
      <c r="T25" s="48">
        <f t="shared" si="16"/>
        <v>2.5991858987824203</v>
      </c>
      <c r="U25" s="48">
        <f t="shared" si="17"/>
        <v>-140.81379440817054</v>
      </c>
      <c r="V25" s="48">
        <f t="shared" si="18"/>
        <v>4.3728224220205938</v>
      </c>
      <c r="W25" s="44">
        <f t="shared" si="19"/>
        <v>-152.81183558618909</v>
      </c>
      <c r="X25" s="45">
        <f t="shared" si="20"/>
        <v>2.612297176017186</v>
      </c>
      <c r="Y25" s="46">
        <f t="shared" si="21"/>
        <v>-49.917949519108554</v>
      </c>
      <c r="Z25" s="45">
        <f t="shared" si="22"/>
        <v>26.691528268562376</v>
      </c>
      <c r="AA25" s="8"/>
      <c r="AB25" s="38">
        <f t="shared" si="23"/>
        <v>6.469345E-2</v>
      </c>
      <c r="AC25" s="12">
        <f t="shared" si="24"/>
        <v>2.3024653136169463E-3</v>
      </c>
      <c r="AD25" s="12">
        <f t="shared" si="25"/>
        <v>2.8857123282346854E-3</v>
      </c>
      <c r="AE25" s="12">
        <f t="shared" si="26"/>
        <v>-0.20374384308141238</v>
      </c>
      <c r="AF25" s="12">
        <f t="shared" si="27"/>
        <v>2.169870659613602E-3</v>
      </c>
      <c r="AG25" s="12">
        <f t="shared" si="28"/>
        <v>9.1999999999999998E-2</v>
      </c>
      <c r="AH25" s="12">
        <f t="shared" si="29"/>
        <v>1.3416407864998738E-3</v>
      </c>
      <c r="AI25" s="12">
        <f t="shared" si="30"/>
        <v>-0.115</v>
      </c>
      <c r="AJ25" s="12">
        <f t="shared" si="31"/>
        <v>8.9442719099991591E-4</v>
      </c>
      <c r="AK25" s="12">
        <f t="shared" si="32"/>
        <v>-0.10829999999999999</v>
      </c>
      <c r="AL25" s="42">
        <f t="shared" si="33"/>
        <v>2.4899999999999999E-2</v>
      </c>
      <c r="AM25" s="8"/>
      <c r="AN25" s="38">
        <f t="shared" si="34"/>
        <v>-0.15223128520660756</v>
      </c>
      <c r="AO25" s="12">
        <f t="shared" si="48"/>
        <v>2.6491190377339814E-3</v>
      </c>
      <c r="AP25" s="12">
        <f t="shared" si="35"/>
        <v>-0.13048827664490231</v>
      </c>
      <c r="AQ25" s="12">
        <f t="shared" si="36"/>
        <v>2.5991858987824204E-3</v>
      </c>
      <c r="AR25" s="12">
        <f t="shared" si="37"/>
        <v>-0.14081379440817055</v>
      </c>
      <c r="AS25" s="12">
        <f t="shared" si="38"/>
        <v>4.372822422020594E-3</v>
      </c>
      <c r="AT25" s="12">
        <f t="shared" si="39"/>
        <v>-0.15281183558618908</v>
      </c>
      <c r="AU25" s="12">
        <f t="shared" si="40"/>
        <v>2.612297176017186E-3</v>
      </c>
      <c r="AV25" s="12">
        <f t="shared" si="41"/>
        <v>-4.9917949519108551E-2</v>
      </c>
      <c r="AW25" s="42">
        <f t="shared" si="42"/>
        <v>2.6691528268562376E-2</v>
      </c>
      <c r="AX25" s="8"/>
      <c r="AY25" s="38"/>
      <c r="AZ25" s="12">
        <f t="shared" si="43"/>
        <v>0.83674375811783774</v>
      </c>
      <c r="BA25" s="12">
        <f t="shared" si="44"/>
        <v>1.0262880322033898</v>
      </c>
      <c r="BB25" s="12">
        <f t="shared" si="45"/>
        <v>-6.747933533208364E-2</v>
      </c>
      <c r="BC25" s="42">
        <f t="shared" si="46"/>
        <v>3.3898305084745735E-2</v>
      </c>
    </row>
    <row r="26" spans="1:55">
      <c r="A26" s="22">
        <v>17</v>
      </c>
      <c r="B26" s="23" t="s">
        <v>192</v>
      </c>
      <c r="C26" s="24">
        <v>60.870460000000001</v>
      </c>
      <c r="D26" s="24">
        <v>2.3024653136169464</v>
      </c>
      <c r="E26" s="3">
        <v>2</v>
      </c>
      <c r="F26" s="3">
        <v>-203.74384308141239</v>
      </c>
      <c r="G26" s="3">
        <v>2.1698706596136019</v>
      </c>
      <c r="H26" s="3">
        <v>92</v>
      </c>
      <c r="I26" s="3">
        <f t="shared" si="10"/>
        <v>1.3416407864998738</v>
      </c>
      <c r="J26" s="3">
        <v>-115</v>
      </c>
      <c r="K26" s="3">
        <f t="shared" si="11"/>
        <v>0.89442719099991586</v>
      </c>
      <c r="L26" s="3">
        <f t="shared" si="47"/>
        <v>0.95161290322580649</v>
      </c>
      <c r="M26" s="3">
        <f t="shared" si="12"/>
        <v>0.4</v>
      </c>
      <c r="N26" s="3">
        <v>-108.3</v>
      </c>
      <c r="O26" s="34">
        <v>24.9</v>
      </c>
      <c r="Q26" s="47">
        <f t="shared" si="13"/>
        <v>-155.2753645319458</v>
      </c>
      <c r="R26" s="48">
        <f t="shared" si="14"/>
        <v>2.6418878990043848</v>
      </c>
      <c r="S26" s="48">
        <f t="shared" si="15"/>
        <v>-130.4882766449023</v>
      </c>
      <c r="T26" s="48">
        <f t="shared" si="16"/>
        <v>2.5991858987824203</v>
      </c>
      <c r="U26" s="48">
        <f t="shared" si="17"/>
        <v>-140.81379440817054</v>
      </c>
      <c r="V26" s="48">
        <f t="shared" si="18"/>
        <v>4.3728224220205938</v>
      </c>
      <c r="W26" s="44">
        <f t="shared" si="19"/>
        <v>-156.01069860603604</v>
      </c>
      <c r="X26" s="45">
        <f t="shared" si="20"/>
        <v>2.6048699918681995</v>
      </c>
      <c r="Y26" s="46">
        <f t="shared" si="21"/>
        <v>-53.505325340401534</v>
      </c>
      <c r="Z26" s="45">
        <f t="shared" si="22"/>
        <v>26.591044859940734</v>
      </c>
      <c r="AA26" s="8"/>
      <c r="AB26" s="38">
        <f t="shared" si="23"/>
        <v>6.0870460000000001E-2</v>
      </c>
      <c r="AC26" s="12">
        <f t="shared" si="24"/>
        <v>2.3024653136169463E-3</v>
      </c>
      <c r="AD26" s="12">
        <f t="shared" si="25"/>
        <v>2.8857123282346854E-3</v>
      </c>
      <c r="AE26" s="12">
        <f t="shared" si="26"/>
        <v>-0.20374384308141238</v>
      </c>
      <c r="AF26" s="12">
        <f t="shared" si="27"/>
        <v>2.169870659613602E-3</v>
      </c>
      <c r="AG26" s="12">
        <f t="shared" si="28"/>
        <v>9.1999999999999998E-2</v>
      </c>
      <c r="AH26" s="12">
        <f t="shared" si="29"/>
        <v>1.3416407864998738E-3</v>
      </c>
      <c r="AI26" s="12">
        <f t="shared" si="30"/>
        <v>-0.115</v>
      </c>
      <c r="AJ26" s="12">
        <f t="shared" si="31"/>
        <v>8.9442719099991591E-4</v>
      </c>
      <c r="AK26" s="12">
        <f t="shared" si="32"/>
        <v>-0.10829999999999999</v>
      </c>
      <c r="AL26" s="42">
        <f t="shared" si="33"/>
        <v>2.4899999999999999E-2</v>
      </c>
      <c r="AM26" s="8"/>
      <c r="AN26" s="38">
        <f t="shared" si="34"/>
        <v>-0.15527536453194579</v>
      </c>
      <c r="AO26" s="12">
        <f t="shared" si="48"/>
        <v>2.6418878990043847E-3</v>
      </c>
      <c r="AP26" s="12">
        <f t="shared" si="35"/>
        <v>-0.13048827664490231</v>
      </c>
      <c r="AQ26" s="12">
        <f t="shared" si="36"/>
        <v>2.5991858987824204E-3</v>
      </c>
      <c r="AR26" s="12">
        <f t="shared" si="37"/>
        <v>-0.14081379440817055</v>
      </c>
      <c r="AS26" s="12">
        <f t="shared" si="38"/>
        <v>4.372822422020594E-3</v>
      </c>
      <c r="AT26" s="12">
        <f t="shared" si="39"/>
        <v>-0.15601069860603603</v>
      </c>
      <c r="AU26" s="12">
        <f t="shared" si="40"/>
        <v>2.6048699918681997E-3</v>
      </c>
      <c r="AV26" s="12">
        <f t="shared" si="41"/>
        <v>-5.3505325340401533E-2</v>
      </c>
      <c r="AW26" s="42">
        <f t="shared" si="42"/>
        <v>2.6591044859940734E-2</v>
      </c>
      <c r="AX26" s="8"/>
      <c r="AY26" s="38"/>
      <c r="AZ26" s="12">
        <f t="shared" si="43"/>
        <v>0.83674375811783774</v>
      </c>
      <c r="BA26" s="12">
        <f t="shared" si="44"/>
        <v>1.0222706528813559</v>
      </c>
      <c r="BB26" s="12">
        <f t="shared" si="45"/>
        <v>-6.747933533208364E-2</v>
      </c>
      <c r="BC26" s="42">
        <f t="shared" si="46"/>
        <v>3.3898305084745735E-2</v>
      </c>
    </row>
    <row r="27" spans="1:55">
      <c r="A27" s="22">
        <v>18</v>
      </c>
      <c r="B27" s="23" t="s">
        <v>192</v>
      </c>
      <c r="C27" s="24">
        <v>64.296880000000002</v>
      </c>
      <c r="D27" s="24">
        <v>2.3024653136169464</v>
      </c>
      <c r="E27" s="3">
        <v>2</v>
      </c>
      <c r="F27" s="3">
        <v>-203.74384308141239</v>
      </c>
      <c r="G27" s="3">
        <v>2.1698706596136019</v>
      </c>
      <c r="H27" s="3">
        <v>92</v>
      </c>
      <c r="I27" s="3">
        <f t="shared" si="10"/>
        <v>1.3416407864998738</v>
      </c>
      <c r="J27" s="3">
        <v>-115</v>
      </c>
      <c r="K27" s="3">
        <f t="shared" si="11"/>
        <v>0.89442719099991586</v>
      </c>
      <c r="L27" s="3">
        <f t="shared" si="47"/>
        <v>0.95161290322580649</v>
      </c>
      <c r="M27" s="3">
        <f t="shared" si="12"/>
        <v>0.4</v>
      </c>
      <c r="N27" s="3">
        <v>-108.3</v>
      </c>
      <c r="O27" s="34">
        <v>24.9</v>
      </c>
      <c r="Q27" s="47">
        <f t="shared" si="13"/>
        <v>-152.54705651075679</v>
      </c>
      <c r="R27" s="48">
        <f t="shared" si="14"/>
        <v>2.6483686403940898</v>
      </c>
      <c r="S27" s="48">
        <f t="shared" si="15"/>
        <v>-130.4882766449023</v>
      </c>
      <c r="T27" s="48">
        <f t="shared" si="16"/>
        <v>2.5991858987824203</v>
      </c>
      <c r="U27" s="48">
        <f t="shared" si="17"/>
        <v>-140.81379440817054</v>
      </c>
      <c r="V27" s="48">
        <f t="shared" si="18"/>
        <v>4.3728224220205938</v>
      </c>
      <c r="W27" s="44">
        <f t="shared" si="19"/>
        <v>-153.14366305834591</v>
      </c>
      <c r="X27" s="45">
        <f t="shared" si="20"/>
        <v>2.6115263616363515</v>
      </c>
      <c r="Y27" s="46">
        <f t="shared" si="21"/>
        <v>-50.290078567170497</v>
      </c>
      <c r="Z27" s="45">
        <f t="shared" si="22"/>
        <v>26.681104770427488</v>
      </c>
      <c r="AA27" s="8"/>
      <c r="AB27" s="38">
        <f t="shared" si="23"/>
        <v>6.4296880000000001E-2</v>
      </c>
      <c r="AC27" s="12">
        <f t="shared" si="24"/>
        <v>2.3024653136169463E-3</v>
      </c>
      <c r="AD27" s="12">
        <f t="shared" si="25"/>
        <v>2.8857123282346854E-3</v>
      </c>
      <c r="AE27" s="12">
        <f t="shared" si="26"/>
        <v>-0.20374384308141238</v>
      </c>
      <c r="AF27" s="12">
        <f t="shared" si="27"/>
        <v>2.169870659613602E-3</v>
      </c>
      <c r="AG27" s="12">
        <f t="shared" si="28"/>
        <v>9.1999999999999998E-2</v>
      </c>
      <c r="AH27" s="12">
        <f t="shared" si="29"/>
        <v>1.3416407864998738E-3</v>
      </c>
      <c r="AI27" s="12">
        <f t="shared" si="30"/>
        <v>-0.115</v>
      </c>
      <c r="AJ27" s="12">
        <f t="shared" si="31"/>
        <v>8.9442719099991591E-4</v>
      </c>
      <c r="AK27" s="12">
        <f t="shared" si="32"/>
        <v>-0.10829999999999999</v>
      </c>
      <c r="AL27" s="42">
        <f t="shared" si="33"/>
        <v>2.4899999999999999E-2</v>
      </c>
      <c r="AM27" s="8"/>
      <c r="AN27" s="38">
        <f t="shared" si="34"/>
        <v>-0.15254705651075678</v>
      </c>
      <c r="AO27" s="12">
        <f t="shared" si="48"/>
        <v>2.6483686403940897E-3</v>
      </c>
      <c r="AP27" s="12">
        <f t="shared" si="35"/>
        <v>-0.13048827664490231</v>
      </c>
      <c r="AQ27" s="12">
        <f t="shared" si="36"/>
        <v>2.5991858987824204E-3</v>
      </c>
      <c r="AR27" s="12">
        <f t="shared" si="37"/>
        <v>-0.14081379440817055</v>
      </c>
      <c r="AS27" s="12">
        <f t="shared" si="38"/>
        <v>4.372822422020594E-3</v>
      </c>
      <c r="AT27" s="12">
        <f t="shared" si="39"/>
        <v>-0.1531436630583459</v>
      </c>
      <c r="AU27" s="12">
        <f t="shared" si="40"/>
        <v>2.6115263616363514E-3</v>
      </c>
      <c r="AV27" s="12">
        <f t="shared" si="41"/>
        <v>-5.0290078567170493E-2</v>
      </c>
      <c r="AW27" s="42">
        <f t="shared" si="42"/>
        <v>2.668110477042749E-2</v>
      </c>
      <c r="AX27" s="8"/>
      <c r="AY27" s="38"/>
      <c r="AZ27" s="12">
        <f t="shared" si="43"/>
        <v>0.83674375811783774</v>
      </c>
      <c r="BA27" s="12">
        <f t="shared" si="44"/>
        <v>1.0258712976271187</v>
      </c>
      <c r="BB27" s="12">
        <f t="shared" si="45"/>
        <v>-6.747933533208364E-2</v>
      </c>
      <c r="BC27" s="42">
        <f t="shared" si="46"/>
        <v>3.3898305084745735E-2</v>
      </c>
    </row>
    <row r="28" spans="1:55">
      <c r="A28" s="22">
        <v>19</v>
      </c>
      <c r="B28" s="23" t="s">
        <v>192</v>
      </c>
      <c r="C28" s="24">
        <v>57.863970000000002</v>
      </c>
      <c r="D28" s="24">
        <v>2.3024653136169464</v>
      </c>
      <c r="E28" s="3">
        <v>2</v>
      </c>
      <c r="F28" s="3">
        <v>-203.74384308141239</v>
      </c>
      <c r="G28" s="3">
        <v>2.1698706596136019</v>
      </c>
      <c r="H28" s="3">
        <v>92</v>
      </c>
      <c r="I28" s="3">
        <f t="shared" si="10"/>
        <v>1.3416407864998738</v>
      </c>
      <c r="J28" s="3">
        <v>-115</v>
      </c>
      <c r="K28" s="3">
        <f t="shared" si="11"/>
        <v>0.89442719099991586</v>
      </c>
      <c r="L28" s="3">
        <f t="shared" si="47"/>
        <v>0.95161290322580649</v>
      </c>
      <c r="M28" s="3">
        <f t="shared" si="12"/>
        <v>0.4</v>
      </c>
      <c r="N28" s="3">
        <v>-108.3</v>
      </c>
      <c r="O28" s="34">
        <v>24.9</v>
      </c>
      <c r="Q28" s="47">
        <f t="shared" si="13"/>
        <v>-157.66930070515991</v>
      </c>
      <c r="R28" s="48">
        <f t="shared" si="14"/>
        <v>2.6362055630551624</v>
      </c>
      <c r="S28" s="48">
        <f t="shared" si="15"/>
        <v>-130.4882766449023</v>
      </c>
      <c r="T28" s="48">
        <f t="shared" si="16"/>
        <v>2.5991858987824203</v>
      </c>
      <c r="U28" s="48">
        <f t="shared" si="17"/>
        <v>-140.81379440817054</v>
      </c>
      <c r="V28" s="48">
        <f t="shared" si="18"/>
        <v>4.3728224220205938</v>
      </c>
      <c r="W28" s="44">
        <f t="shared" si="19"/>
        <v>-158.52636034737969</v>
      </c>
      <c r="X28" s="45">
        <f t="shared" si="20"/>
        <v>2.5990347068861386</v>
      </c>
      <c r="Y28" s="46">
        <f t="shared" si="21"/>
        <v>-56.32652276256556</v>
      </c>
      <c r="Z28" s="45">
        <f t="shared" si="22"/>
        <v>26.512023214535688</v>
      </c>
      <c r="AA28" s="8"/>
      <c r="AB28" s="38">
        <f t="shared" si="23"/>
        <v>5.7863970000000001E-2</v>
      </c>
      <c r="AC28" s="12">
        <f t="shared" si="24"/>
        <v>2.3024653136169463E-3</v>
      </c>
      <c r="AD28" s="12">
        <f t="shared" si="25"/>
        <v>2.8857123282346854E-3</v>
      </c>
      <c r="AE28" s="12">
        <f t="shared" si="26"/>
        <v>-0.20374384308141238</v>
      </c>
      <c r="AF28" s="12">
        <f t="shared" si="27"/>
        <v>2.169870659613602E-3</v>
      </c>
      <c r="AG28" s="12">
        <f t="shared" si="28"/>
        <v>9.1999999999999998E-2</v>
      </c>
      <c r="AH28" s="12">
        <f t="shared" si="29"/>
        <v>1.3416407864998738E-3</v>
      </c>
      <c r="AI28" s="12">
        <f t="shared" si="30"/>
        <v>-0.115</v>
      </c>
      <c r="AJ28" s="12">
        <f t="shared" si="31"/>
        <v>8.9442719099991591E-4</v>
      </c>
      <c r="AK28" s="12">
        <f t="shared" si="32"/>
        <v>-0.10829999999999999</v>
      </c>
      <c r="AL28" s="42">
        <f t="shared" si="33"/>
        <v>2.4899999999999999E-2</v>
      </c>
      <c r="AM28" s="8"/>
      <c r="AN28" s="38">
        <f t="shared" si="34"/>
        <v>-0.15766930070515991</v>
      </c>
      <c r="AO28" s="12">
        <f t="shared" si="48"/>
        <v>2.6362055630551624E-3</v>
      </c>
      <c r="AP28" s="12">
        <f t="shared" si="35"/>
        <v>-0.13048827664490231</v>
      </c>
      <c r="AQ28" s="12">
        <f t="shared" si="36"/>
        <v>2.5991858987824204E-3</v>
      </c>
      <c r="AR28" s="12">
        <f t="shared" si="37"/>
        <v>-0.14081379440817055</v>
      </c>
      <c r="AS28" s="12">
        <f t="shared" si="38"/>
        <v>4.372822422020594E-3</v>
      </c>
      <c r="AT28" s="12">
        <f t="shared" si="39"/>
        <v>-0.15852636034737969</v>
      </c>
      <c r="AU28" s="12">
        <f t="shared" si="40"/>
        <v>2.5990347068861387E-3</v>
      </c>
      <c r="AV28" s="12">
        <f t="shared" si="41"/>
        <v>-5.6326522762565556E-2</v>
      </c>
      <c r="AW28" s="42">
        <f t="shared" si="42"/>
        <v>2.6512023214535687E-2</v>
      </c>
      <c r="AX28" s="8"/>
      <c r="AY28" s="38"/>
      <c r="AZ28" s="12">
        <f t="shared" si="43"/>
        <v>0.83674375811783774</v>
      </c>
      <c r="BA28" s="12">
        <f t="shared" si="44"/>
        <v>1.0191112905084745</v>
      </c>
      <c r="BB28" s="12">
        <f t="shared" si="45"/>
        <v>-6.747933533208364E-2</v>
      </c>
      <c r="BC28" s="42">
        <f t="shared" si="46"/>
        <v>3.3898305084745735E-2</v>
      </c>
    </row>
    <row r="29" spans="1:55">
      <c r="A29" s="22">
        <v>20</v>
      </c>
      <c r="B29" s="23" t="s">
        <v>192</v>
      </c>
      <c r="C29" s="24">
        <v>61.688229999999997</v>
      </c>
      <c r="D29" s="24">
        <v>2.3024653136169464</v>
      </c>
      <c r="E29" s="3">
        <v>2</v>
      </c>
      <c r="F29" s="3">
        <v>-203.74384308141239</v>
      </c>
      <c r="G29" s="3">
        <v>2.1698706596136019</v>
      </c>
      <c r="H29" s="3">
        <v>92</v>
      </c>
      <c r="I29" s="3">
        <f t="shared" si="10"/>
        <v>1.3416407864998738</v>
      </c>
      <c r="J29" s="3">
        <v>-115</v>
      </c>
      <c r="K29" s="3">
        <f t="shared" si="11"/>
        <v>0.89442719099991586</v>
      </c>
      <c r="L29" s="3">
        <f t="shared" si="47"/>
        <v>0.95161290322580649</v>
      </c>
      <c r="M29" s="3">
        <f t="shared" si="12"/>
        <v>0.4</v>
      </c>
      <c r="N29" s="3">
        <v>-108.3</v>
      </c>
      <c r="O29" s="34">
        <v>24.9</v>
      </c>
      <c r="Q29" s="47">
        <f t="shared" si="13"/>
        <v>-154.62421013450248</v>
      </c>
      <c r="R29" s="48">
        <f t="shared" si="14"/>
        <v>2.6434341753760142</v>
      </c>
      <c r="S29" s="48">
        <f t="shared" si="15"/>
        <v>-130.4882766449023</v>
      </c>
      <c r="T29" s="48">
        <f t="shared" si="16"/>
        <v>2.5991858987824203</v>
      </c>
      <c r="U29" s="48">
        <f t="shared" si="17"/>
        <v>-140.81379440817054</v>
      </c>
      <c r="V29" s="48">
        <f t="shared" si="18"/>
        <v>4.3728224220205938</v>
      </c>
      <c r="W29" s="44">
        <f t="shared" si="19"/>
        <v>-155.32643466296</v>
      </c>
      <c r="X29" s="45">
        <f t="shared" si="20"/>
        <v>2.6064580577876351</v>
      </c>
      <c r="Y29" s="46">
        <f t="shared" si="21"/>
        <v>-52.737955212470602</v>
      </c>
      <c r="Z29" s="45">
        <f t="shared" si="22"/>
        <v>26.612539007531346</v>
      </c>
      <c r="AA29" s="8"/>
      <c r="AB29" s="38">
        <f t="shared" si="23"/>
        <v>6.1688229999999997E-2</v>
      </c>
      <c r="AC29" s="12">
        <f t="shared" si="24"/>
        <v>2.3024653136169463E-3</v>
      </c>
      <c r="AD29" s="12">
        <f t="shared" si="25"/>
        <v>2.8857123282346854E-3</v>
      </c>
      <c r="AE29" s="12">
        <f t="shared" si="26"/>
        <v>-0.20374384308141238</v>
      </c>
      <c r="AF29" s="12">
        <f t="shared" si="27"/>
        <v>2.169870659613602E-3</v>
      </c>
      <c r="AG29" s="12">
        <f t="shared" si="28"/>
        <v>9.1999999999999998E-2</v>
      </c>
      <c r="AH29" s="12">
        <f t="shared" si="29"/>
        <v>1.3416407864998738E-3</v>
      </c>
      <c r="AI29" s="12">
        <f t="shared" si="30"/>
        <v>-0.115</v>
      </c>
      <c r="AJ29" s="12">
        <f t="shared" si="31"/>
        <v>8.9442719099991591E-4</v>
      </c>
      <c r="AK29" s="12">
        <f t="shared" si="32"/>
        <v>-0.10829999999999999</v>
      </c>
      <c r="AL29" s="42">
        <f t="shared" si="33"/>
        <v>2.4899999999999999E-2</v>
      </c>
      <c r="AM29" s="8"/>
      <c r="AN29" s="38">
        <f t="shared" si="34"/>
        <v>-0.15462421013450248</v>
      </c>
      <c r="AO29" s="12">
        <f t="shared" si="48"/>
        <v>2.6434341753760141E-3</v>
      </c>
      <c r="AP29" s="12">
        <f t="shared" si="35"/>
        <v>-0.13048827664490231</v>
      </c>
      <c r="AQ29" s="12">
        <f t="shared" si="36"/>
        <v>2.5991858987824204E-3</v>
      </c>
      <c r="AR29" s="12">
        <f t="shared" si="37"/>
        <v>-0.14081379440817055</v>
      </c>
      <c r="AS29" s="12">
        <f t="shared" si="38"/>
        <v>4.372822422020594E-3</v>
      </c>
      <c r="AT29" s="12">
        <f t="shared" si="39"/>
        <v>-0.15532643466296001</v>
      </c>
      <c r="AU29" s="12">
        <f t="shared" si="40"/>
        <v>2.6064580577876352E-3</v>
      </c>
      <c r="AV29" s="12">
        <f t="shared" si="41"/>
        <v>-5.27379552124706E-2</v>
      </c>
      <c r="AW29" s="42">
        <f t="shared" si="42"/>
        <v>2.6612539007531345E-2</v>
      </c>
      <c r="AX29" s="8"/>
      <c r="AY29" s="38"/>
      <c r="AZ29" s="12">
        <f t="shared" si="43"/>
        <v>0.83674375811783774</v>
      </c>
      <c r="BA29" s="12">
        <f t="shared" si="44"/>
        <v>1.0231300044067795</v>
      </c>
      <c r="BB29" s="12">
        <f t="shared" si="45"/>
        <v>-6.747933533208364E-2</v>
      </c>
      <c r="BC29" s="42">
        <f t="shared" si="46"/>
        <v>3.3898305084745735E-2</v>
      </c>
    </row>
    <row r="30" spans="1:55">
      <c r="A30" s="22">
        <v>21</v>
      </c>
      <c r="B30" s="23" t="s">
        <v>192</v>
      </c>
      <c r="C30" s="24">
        <v>64.847750000000005</v>
      </c>
      <c r="D30" s="24">
        <v>2.3024653136169464</v>
      </c>
      <c r="E30" s="3">
        <v>3</v>
      </c>
      <c r="F30" s="3">
        <v>-203.74384308141239</v>
      </c>
      <c r="G30" s="3">
        <v>2.1698706596136019</v>
      </c>
      <c r="H30" s="3">
        <v>92</v>
      </c>
      <c r="I30" s="3">
        <f t="shared" si="10"/>
        <v>1.3416407864998738</v>
      </c>
      <c r="J30" s="3">
        <v>-115</v>
      </c>
      <c r="K30" s="3">
        <f t="shared" si="11"/>
        <v>0.89442719099991586</v>
      </c>
      <c r="L30" s="3">
        <f t="shared" si="47"/>
        <v>0.95161290322580649</v>
      </c>
      <c r="M30" s="3">
        <f t="shared" si="12"/>
        <v>0.4</v>
      </c>
      <c r="N30" s="3">
        <v>-108.3</v>
      </c>
      <c r="O30" s="34">
        <v>24.9</v>
      </c>
      <c r="Q30" s="47">
        <f t="shared" si="13"/>
        <v>-152.10842288159503</v>
      </c>
      <c r="R30" s="48">
        <f t="shared" si="14"/>
        <v>2.5414920965330445</v>
      </c>
      <c r="S30" s="48">
        <f t="shared" si="15"/>
        <v>-130.4882766449023</v>
      </c>
      <c r="T30" s="48">
        <f t="shared" si="16"/>
        <v>2.5991858987824203</v>
      </c>
      <c r="U30" s="48">
        <f t="shared" si="17"/>
        <v>-140.81379440817054</v>
      </c>
      <c r="V30" s="48">
        <f t="shared" si="18"/>
        <v>4.3728224220205938</v>
      </c>
      <c r="W30" s="44">
        <f t="shared" si="19"/>
        <v>-152.68272602431151</v>
      </c>
      <c r="X30" s="45">
        <f t="shared" si="20"/>
        <v>2.4913950798395037</v>
      </c>
      <c r="Y30" s="46">
        <f t="shared" si="21"/>
        <v>-49.773159161502264</v>
      </c>
      <c r="Z30" s="45">
        <f t="shared" si="22"/>
        <v>26.681008142967265</v>
      </c>
      <c r="AA30" s="8"/>
      <c r="AB30" s="38">
        <f t="shared" si="23"/>
        <v>6.484775000000001E-2</v>
      </c>
      <c r="AC30" s="12">
        <f t="shared" si="24"/>
        <v>2.3024653136169463E-3</v>
      </c>
      <c r="AD30" s="12">
        <f t="shared" si="25"/>
        <v>2.5980538928453978E-3</v>
      </c>
      <c r="AE30" s="12">
        <f t="shared" si="26"/>
        <v>-0.20374384308141238</v>
      </c>
      <c r="AF30" s="12">
        <f t="shared" si="27"/>
        <v>2.169870659613602E-3</v>
      </c>
      <c r="AG30" s="12">
        <f t="shared" si="28"/>
        <v>9.1999999999999998E-2</v>
      </c>
      <c r="AH30" s="12">
        <f t="shared" si="29"/>
        <v>1.3416407864998738E-3</v>
      </c>
      <c r="AI30" s="12">
        <f t="shared" si="30"/>
        <v>-0.115</v>
      </c>
      <c r="AJ30" s="12">
        <f t="shared" si="31"/>
        <v>8.9442719099991591E-4</v>
      </c>
      <c r="AK30" s="12">
        <f t="shared" si="32"/>
        <v>-0.10829999999999999</v>
      </c>
      <c r="AL30" s="42">
        <f t="shared" si="33"/>
        <v>2.4899999999999999E-2</v>
      </c>
      <c r="AM30" s="8"/>
      <c r="AN30" s="38">
        <f t="shared" si="34"/>
        <v>-0.15210842288159504</v>
      </c>
      <c r="AO30" s="12">
        <f t="shared" si="48"/>
        <v>2.5414920965330444E-3</v>
      </c>
      <c r="AP30" s="12">
        <f t="shared" si="35"/>
        <v>-0.13048827664490231</v>
      </c>
      <c r="AQ30" s="12">
        <f t="shared" si="36"/>
        <v>2.5991858987824204E-3</v>
      </c>
      <c r="AR30" s="12">
        <f t="shared" si="37"/>
        <v>-0.14081379440817055</v>
      </c>
      <c r="AS30" s="12">
        <f t="shared" si="38"/>
        <v>4.372822422020594E-3</v>
      </c>
      <c r="AT30" s="12">
        <f t="shared" si="39"/>
        <v>-0.15268272602431152</v>
      </c>
      <c r="AU30" s="12">
        <f t="shared" si="40"/>
        <v>2.4913950798395035E-3</v>
      </c>
      <c r="AV30" s="12">
        <f t="shared" si="41"/>
        <v>-4.9773159161502267E-2</v>
      </c>
      <c r="AW30" s="42">
        <f t="shared" si="42"/>
        <v>2.6681008142967266E-2</v>
      </c>
      <c r="AX30" s="8"/>
      <c r="AY30" s="38"/>
      <c r="AZ30" s="12">
        <f t="shared" si="43"/>
        <v>0.83674375811783774</v>
      </c>
      <c r="BA30" s="12">
        <f t="shared" si="44"/>
        <v>1.0264501779661015</v>
      </c>
      <c r="BB30" s="12">
        <f t="shared" si="45"/>
        <v>-6.747933533208364E-2</v>
      </c>
      <c r="BC30" s="42">
        <f t="shared" si="46"/>
        <v>3.3898305084745735E-2</v>
      </c>
    </row>
    <row r="31" spans="1:55">
      <c r="A31" s="22">
        <v>22</v>
      </c>
      <c r="B31" s="23" t="s">
        <v>192</v>
      </c>
      <c r="C31" s="24">
        <v>64.835539999999995</v>
      </c>
      <c r="D31" s="24">
        <v>2.3024653136169464</v>
      </c>
      <c r="E31" s="3">
        <v>2</v>
      </c>
      <c r="F31" s="3">
        <v>-203.74384308141239</v>
      </c>
      <c r="G31" s="3">
        <v>2.1698706596136019</v>
      </c>
      <c r="H31" s="3">
        <v>92</v>
      </c>
      <c r="I31" s="3">
        <f t="shared" si="10"/>
        <v>1.3416407864998738</v>
      </c>
      <c r="J31" s="3">
        <v>-115</v>
      </c>
      <c r="K31" s="3">
        <f t="shared" si="11"/>
        <v>0.89442719099991586</v>
      </c>
      <c r="L31" s="3">
        <f t="shared" si="47"/>
        <v>0.95161290322580649</v>
      </c>
      <c r="M31" s="3">
        <f t="shared" si="12"/>
        <v>0.4</v>
      </c>
      <c r="N31" s="3">
        <v>-108.3</v>
      </c>
      <c r="O31" s="34">
        <v>24.9</v>
      </c>
      <c r="Q31" s="47">
        <f t="shared" si="13"/>
        <v>-152.11814516927103</v>
      </c>
      <c r="R31" s="48">
        <f t="shared" si="14"/>
        <v>2.6493879194411574</v>
      </c>
      <c r="S31" s="48">
        <f t="shared" si="15"/>
        <v>-130.4882766449023</v>
      </c>
      <c r="T31" s="48">
        <f t="shared" si="16"/>
        <v>2.5991858987824203</v>
      </c>
      <c r="U31" s="48">
        <f t="shared" si="17"/>
        <v>-140.81379440817054</v>
      </c>
      <c r="V31" s="48">
        <f t="shared" si="18"/>
        <v>4.3728224220205938</v>
      </c>
      <c r="W31" s="44">
        <f t="shared" si="19"/>
        <v>-152.69294266559817</v>
      </c>
      <c r="X31" s="45">
        <f t="shared" si="20"/>
        <v>2.6125733776257936</v>
      </c>
      <c r="Y31" s="46">
        <f t="shared" si="21"/>
        <v>-49.78461664864664</v>
      </c>
      <c r="Z31" s="45">
        <f t="shared" si="22"/>
        <v>26.695262984129378</v>
      </c>
      <c r="AA31" s="8"/>
      <c r="AB31" s="38">
        <f t="shared" si="23"/>
        <v>6.4835539999999997E-2</v>
      </c>
      <c r="AC31" s="12">
        <f t="shared" si="24"/>
        <v>2.3024653136169463E-3</v>
      </c>
      <c r="AD31" s="12">
        <f t="shared" si="25"/>
        <v>2.8857123282346854E-3</v>
      </c>
      <c r="AE31" s="12">
        <f t="shared" si="26"/>
        <v>-0.20374384308141238</v>
      </c>
      <c r="AF31" s="12">
        <f t="shared" si="27"/>
        <v>2.169870659613602E-3</v>
      </c>
      <c r="AG31" s="12">
        <f t="shared" si="28"/>
        <v>9.1999999999999998E-2</v>
      </c>
      <c r="AH31" s="12">
        <f t="shared" si="29"/>
        <v>1.3416407864998738E-3</v>
      </c>
      <c r="AI31" s="12">
        <f t="shared" si="30"/>
        <v>-0.115</v>
      </c>
      <c r="AJ31" s="12">
        <f t="shared" si="31"/>
        <v>8.9442719099991591E-4</v>
      </c>
      <c r="AK31" s="12">
        <f t="shared" si="32"/>
        <v>-0.10829999999999999</v>
      </c>
      <c r="AL31" s="42">
        <f t="shared" si="33"/>
        <v>2.4899999999999999E-2</v>
      </c>
      <c r="AM31" s="8"/>
      <c r="AN31" s="38">
        <f t="shared" si="34"/>
        <v>-0.15211814516927102</v>
      </c>
      <c r="AO31" s="12">
        <f t="shared" si="48"/>
        <v>2.6493879194411573E-3</v>
      </c>
      <c r="AP31" s="12">
        <f t="shared" si="35"/>
        <v>-0.13048827664490231</v>
      </c>
      <c r="AQ31" s="12">
        <f t="shared" si="36"/>
        <v>2.5991858987824204E-3</v>
      </c>
      <c r="AR31" s="12">
        <f t="shared" si="37"/>
        <v>-0.14081379440817055</v>
      </c>
      <c r="AS31" s="12">
        <f t="shared" si="38"/>
        <v>4.372822422020594E-3</v>
      </c>
      <c r="AT31" s="12">
        <f t="shared" si="39"/>
        <v>-0.15269294266559816</v>
      </c>
      <c r="AU31" s="12">
        <f t="shared" si="40"/>
        <v>2.6125733776257935E-3</v>
      </c>
      <c r="AV31" s="12">
        <f t="shared" si="41"/>
        <v>-4.978461664864664E-2</v>
      </c>
      <c r="AW31" s="42">
        <f t="shared" si="42"/>
        <v>2.669526298412938E-2</v>
      </c>
      <c r="AX31" s="8"/>
      <c r="AY31" s="38"/>
      <c r="AZ31" s="12">
        <f t="shared" si="43"/>
        <v>0.83674375811783774</v>
      </c>
      <c r="BA31" s="12">
        <f t="shared" si="44"/>
        <v>1.0264373471186439</v>
      </c>
      <c r="BB31" s="12">
        <f t="shared" si="45"/>
        <v>-6.747933533208364E-2</v>
      </c>
      <c r="BC31" s="42">
        <f t="shared" si="46"/>
        <v>3.3898305084745735E-2</v>
      </c>
    </row>
    <row r="32" spans="1:55">
      <c r="A32" s="22">
        <v>23</v>
      </c>
      <c r="B32" s="23" t="s">
        <v>192</v>
      </c>
      <c r="C32" s="24">
        <v>61.212510000000002</v>
      </c>
      <c r="D32" s="24">
        <v>2.3024653136169464</v>
      </c>
      <c r="E32" s="3">
        <v>3</v>
      </c>
      <c r="F32" s="3">
        <v>-203.74384308141239</v>
      </c>
      <c r="G32" s="3">
        <v>2.1698706596136019</v>
      </c>
      <c r="H32" s="3">
        <v>92</v>
      </c>
      <c r="I32" s="3">
        <f t="shared" si="10"/>
        <v>1.3416407864998738</v>
      </c>
      <c r="J32" s="3">
        <v>-115</v>
      </c>
      <c r="K32" s="3">
        <f t="shared" si="11"/>
        <v>0.89442719099991586</v>
      </c>
      <c r="L32" s="3">
        <f t="shared" si="47"/>
        <v>0.95161290322580649</v>
      </c>
      <c r="M32" s="3">
        <f t="shared" si="12"/>
        <v>0.4</v>
      </c>
      <c r="N32" s="3">
        <v>-108.3</v>
      </c>
      <c r="O32" s="34">
        <v>24.9</v>
      </c>
      <c r="Q32" s="47">
        <f t="shared" si="13"/>
        <v>-155.0030051134718</v>
      </c>
      <c r="R32" s="48">
        <f t="shared" si="14"/>
        <v>2.53432289863632</v>
      </c>
      <c r="S32" s="48">
        <f t="shared" si="15"/>
        <v>-130.4882766449023</v>
      </c>
      <c r="T32" s="48">
        <f t="shared" si="16"/>
        <v>2.5991858987824203</v>
      </c>
      <c r="U32" s="48">
        <f t="shared" si="17"/>
        <v>-140.81379440817054</v>
      </c>
      <c r="V32" s="48">
        <f t="shared" si="18"/>
        <v>4.3728224220205938</v>
      </c>
      <c r="W32" s="44">
        <f t="shared" si="19"/>
        <v>-155.72449040357185</v>
      </c>
      <c r="X32" s="45">
        <f t="shared" si="20"/>
        <v>2.4839875578868167</v>
      </c>
      <c r="Y32" s="46">
        <f t="shared" si="21"/>
        <v>-53.184356177606638</v>
      </c>
      <c r="Z32" s="45">
        <f t="shared" si="22"/>
        <v>26.585407088842395</v>
      </c>
      <c r="AA32" s="8"/>
      <c r="AB32" s="38">
        <f t="shared" si="23"/>
        <v>6.1212510000000005E-2</v>
      </c>
      <c r="AC32" s="12">
        <f t="shared" si="24"/>
        <v>2.3024653136169463E-3</v>
      </c>
      <c r="AD32" s="12">
        <f t="shared" si="25"/>
        <v>2.5980538928453978E-3</v>
      </c>
      <c r="AE32" s="12">
        <f t="shared" si="26"/>
        <v>-0.20374384308141238</v>
      </c>
      <c r="AF32" s="12">
        <f t="shared" si="27"/>
        <v>2.169870659613602E-3</v>
      </c>
      <c r="AG32" s="12">
        <f t="shared" si="28"/>
        <v>9.1999999999999998E-2</v>
      </c>
      <c r="AH32" s="12">
        <f t="shared" si="29"/>
        <v>1.3416407864998738E-3</v>
      </c>
      <c r="AI32" s="12">
        <f t="shared" si="30"/>
        <v>-0.115</v>
      </c>
      <c r="AJ32" s="12">
        <f t="shared" si="31"/>
        <v>8.9442719099991591E-4</v>
      </c>
      <c r="AK32" s="12">
        <f t="shared" si="32"/>
        <v>-0.10829999999999999</v>
      </c>
      <c r="AL32" s="42">
        <f t="shared" si="33"/>
        <v>2.4899999999999999E-2</v>
      </c>
      <c r="AM32" s="8"/>
      <c r="AN32" s="38">
        <f t="shared" si="34"/>
        <v>-0.15500300511347179</v>
      </c>
      <c r="AO32" s="12">
        <f t="shared" si="48"/>
        <v>2.5343228986363202E-3</v>
      </c>
      <c r="AP32" s="12">
        <f t="shared" si="35"/>
        <v>-0.13048827664490231</v>
      </c>
      <c r="AQ32" s="12">
        <f t="shared" si="36"/>
        <v>2.5991858987824204E-3</v>
      </c>
      <c r="AR32" s="12">
        <f t="shared" si="37"/>
        <v>-0.14081379440817055</v>
      </c>
      <c r="AS32" s="12">
        <f t="shared" si="38"/>
        <v>4.372822422020594E-3</v>
      </c>
      <c r="AT32" s="12">
        <f t="shared" si="39"/>
        <v>-0.15572449040357184</v>
      </c>
      <c r="AU32" s="12">
        <f t="shared" si="40"/>
        <v>2.4839875578868166E-3</v>
      </c>
      <c r="AV32" s="12">
        <f t="shared" si="41"/>
        <v>-5.318435617760664E-2</v>
      </c>
      <c r="AW32" s="42">
        <f t="shared" si="42"/>
        <v>2.6585407088842394E-2</v>
      </c>
      <c r="AX32" s="8"/>
      <c r="AY32" s="38"/>
      <c r="AZ32" s="12">
        <f t="shared" si="43"/>
        <v>0.83674375811783774</v>
      </c>
      <c r="BA32" s="12">
        <f t="shared" si="44"/>
        <v>1.0226300952542373</v>
      </c>
      <c r="BB32" s="12">
        <f t="shared" si="45"/>
        <v>-6.747933533208364E-2</v>
      </c>
      <c r="BC32" s="42">
        <f t="shared" si="46"/>
        <v>3.3898305084745735E-2</v>
      </c>
    </row>
    <row r="33" spans="1:55">
      <c r="A33" s="22">
        <v>24</v>
      </c>
      <c r="B33" s="23" t="s">
        <v>192</v>
      </c>
      <c r="C33" s="24">
        <v>53.193530000000003</v>
      </c>
      <c r="D33" s="24">
        <v>2.3024653136169464</v>
      </c>
      <c r="E33" s="3">
        <v>1</v>
      </c>
      <c r="F33" s="3">
        <v>-203.74384308141239</v>
      </c>
      <c r="G33" s="3">
        <v>2.1698706596136019</v>
      </c>
      <c r="H33" s="3">
        <v>92</v>
      </c>
      <c r="I33" s="3">
        <f t="shared" si="10"/>
        <v>1.3416407864998738</v>
      </c>
      <c r="J33" s="3">
        <v>-115</v>
      </c>
      <c r="K33" s="3">
        <f t="shared" si="11"/>
        <v>0.89442719099991586</v>
      </c>
      <c r="L33" s="3">
        <f t="shared" si="47"/>
        <v>0.95161290322580649</v>
      </c>
      <c r="M33" s="3">
        <f t="shared" si="12"/>
        <v>0.4</v>
      </c>
      <c r="N33" s="3">
        <v>-108.3</v>
      </c>
      <c r="O33" s="34">
        <v>24.9</v>
      </c>
      <c r="Q33" s="47">
        <f t="shared" si="13"/>
        <v>-161.38816731067877</v>
      </c>
      <c r="R33" s="48">
        <f t="shared" si="14"/>
        <v>2.929803355159998</v>
      </c>
      <c r="S33" s="48">
        <f t="shared" si="15"/>
        <v>-130.4882766449023</v>
      </c>
      <c r="T33" s="48">
        <f t="shared" si="16"/>
        <v>2.5991858987824203</v>
      </c>
      <c r="U33" s="48">
        <f t="shared" si="17"/>
        <v>-140.81379440817054</v>
      </c>
      <c r="V33" s="48">
        <f t="shared" si="18"/>
        <v>4.3728224220205938</v>
      </c>
      <c r="W33" s="44">
        <f t="shared" si="19"/>
        <v>-162.43432186504356</v>
      </c>
      <c r="X33" s="45">
        <f t="shared" si="20"/>
        <v>2.9264035870243901</v>
      </c>
      <c r="Y33" s="46">
        <f t="shared" si="21"/>
        <v>-60.709119507730833</v>
      </c>
      <c r="Z33" s="45">
        <f t="shared" si="22"/>
        <v>26.433454210922488</v>
      </c>
      <c r="AA33" s="8"/>
      <c r="AB33" s="38">
        <f t="shared" si="23"/>
        <v>5.3193530000000003E-2</v>
      </c>
      <c r="AC33" s="12">
        <f t="shared" si="24"/>
        <v>2.3024653136169463E-3</v>
      </c>
      <c r="AD33" s="12">
        <f t="shared" si="25"/>
        <v>2.3024653136169463E-3</v>
      </c>
      <c r="AE33" s="12">
        <f t="shared" si="26"/>
        <v>-0.20374384308141238</v>
      </c>
      <c r="AF33" s="12">
        <f t="shared" si="27"/>
        <v>2.169870659613602E-3</v>
      </c>
      <c r="AG33" s="12">
        <f t="shared" si="28"/>
        <v>9.1999999999999998E-2</v>
      </c>
      <c r="AH33" s="12">
        <f t="shared" si="29"/>
        <v>1.3416407864998738E-3</v>
      </c>
      <c r="AI33" s="12">
        <f t="shared" si="30"/>
        <v>-0.115</v>
      </c>
      <c r="AJ33" s="12">
        <f t="shared" si="31"/>
        <v>8.9442719099991591E-4</v>
      </c>
      <c r="AK33" s="12">
        <f t="shared" si="32"/>
        <v>-0.10829999999999999</v>
      </c>
      <c r="AL33" s="42">
        <f t="shared" si="33"/>
        <v>2.4899999999999999E-2</v>
      </c>
      <c r="AM33" s="8"/>
      <c r="AN33" s="38">
        <f t="shared" si="34"/>
        <v>-0.16138816731067876</v>
      </c>
      <c r="AO33" s="12">
        <f t="shared" si="48"/>
        <v>2.9298033551599981E-3</v>
      </c>
      <c r="AP33" s="12">
        <f t="shared" si="35"/>
        <v>-0.13048827664490231</v>
      </c>
      <c r="AQ33" s="12">
        <f t="shared" si="36"/>
        <v>2.5991858987824204E-3</v>
      </c>
      <c r="AR33" s="12">
        <f t="shared" si="37"/>
        <v>-0.14081379440817055</v>
      </c>
      <c r="AS33" s="12">
        <f t="shared" si="38"/>
        <v>4.372822422020594E-3</v>
      </c>
      <c r="AT33" s="12">
        <f t="shared" si="39"/>
        <v>-0.16243432186504356</v>
      </c>
      <c r="AU33" s="12">
        <f t="shared" si="40"/>
        <v>2.9264035870243902E-3</v>
      </c>
      <c r="AV33" s="12">
        <f t="shared" si="41"/>
        <v>-6.0709119507730835E-2</v>
      </c>
      <c r="AW33" s="42">
        <f t="shared" si="42"/>
        <v>2.6433454210922486E-2</v>
      </c>
      <c r="AX33" s="8"/>
      <c r="AY33" s="38"/>
      <c r="AZ33" s="12">
        <f t="shared" si="43"/>
        <v>0.83674375811783774</v>
      </c>
      <c r="BA33" s="12">
        <f t="shared" si="44"/>
        <v>1.0142033705084743</v>
      </c>
      <c r="BB33" s="12">
        <f t="shared" si="45"/>
        <v>-6.747933533208364E-2</v>
      </c>
      <c r="BC33" s="42">
        <f t="shared" si="46"/>
        <v>3.3898305084745735E-2</v>
      </c>
    </row>
    <row r="34" spans="1:55">
      <c r="A34" s="22">
        <v>25</v>
      </c>
      <c r="B34" s="23" t="s">
        <v>192</v>
      </c>
      <c r="C34" s="24">
        <v>54.008780000000002</v>
      </c>
      <c r="D34" s="24">
        <v>2.3024653136169464</v>
      </c>
      <c r="E34" s="3">
        <v>2</v>
      </c>
      <c r="F34" s="3">
        <v>-203.74384308141239</v>
      </c>
      <c r="G34" s="3">
        <v>2.1698706596136019</v>
      </c>
      <c r="H34" s="3">
        <v>92</v>
      </c>
      <c r="I34" s="3">
        <f t="shared" si="10"/>
        <v>1.3416407864998738</v>
      </c>
      <c r="J34" s="3">
        <v>-115</v>
      </c>
      <c r="K34" s="3">
        <f t="shared" si="11"/>
        <v>0.89442719099991586</v>
      </c>
      <c r="L34" s="3">
        <f t="shared" si="47"/>
        <v>0.95161290322580649</v>
      </c>
      <c r="M34" s="3">
        <f t="shared" si="12"/>
        <v>0.4</v>
      </c>
      <c r="N34" s="3">
        <v>-108.3</v>
      </c>
      <c r="O34" s="34">
        <v>24.9</v>
      </c>
      <c r="Q34" s="47">
        <f t="shared" si="13"/>
        <v>-160.73901947875092</v>
      </c>
      <c r="R34" s="48">
        <f t="shared" si="14"/>
        <v>2.6289248805505094</v>
      </c>
      <c r="S34" s="48">
        <f t="shared" si="15"/>
        <v>-130.4882766449023</v>
      </c>
      <c r="T34" s="48">
        <f t="shared" si="16"/>
        <v>2.5991858987824203</v>
      </c>
      <c r="U34" s="48">
        <f t="shared" si="17"/>
        <v>-140.81379440817054</v>
      </c>
      <c r="V34" s="48">
        <f t="shared" si="18"/>
        <v>4.3728224220205938</v>
      </c>
      <c r="W34" s="44">
        <f t="shared" si="19"/>
        <v>-161.75216651623802</v>
      </c>
      <c r="X34" s="45">
        <f t="shared" si="20"/>
        <v>2.5915594930821038</v>
      </c>
      <c r="Y34" s="46">
        <f t="shared" si="21"/>
        <v>-59.944114070021428</v>
      </c>
      <c r="Z34" s="45">
        <f t="shared" si="22"/>
        <v>26.410695762049702</v>
      </c>
      <c r="AA34" s="8"/>
      <c r="AB34" s="38">
        <f t="shared" si="23"/>
        <v>5.4008779999999999E-2</v>
      </c>
      <c r="AC34" s="12">
        <f t="shared" si="24"/>
        <v>2.3024653136169463E-3</v>
      </c>
      <c r="AD34" s="12">
        <f t="shared" si="25"/>
        <v>2.8857123282346854E-3</v>
      </c>
      <c r="AE34" s="12">
        <f t="shared" si="26"/>
        <v>-0.20374384308141238</v>
      </c>
      <c r="AF34" s="12">
        <f t="shared" si="27"/>
        <v>2.169870659613602E-3</v>
      </c>
      <c r="AG34" s="12">
        <f t="shared" si="28"/>
        <v>9.1999999999999998E-2</v>
      </c>
      <c r="AH34" s="12">
        <f t="shared" si="29"/>
        <v>1.3416407864998738E-3</v>
      </c>
      <c r="AI34" s="12">
        <f t="shared" si="30"/>
        <v>-0.115</v>
      </c>
      <c r="AJ34" s="12">
        <f t="shared" si="31"/>
        <v>8.9442719099991591E-4</v>
      </c>
      <c r="AK34" s="12">
        <f t="shared" si="32"/>
        <v>-0.10829999999999999</v>
      </c>
      <c r="AL34" s="42">
        <f t="shared" si="33"/>
        <v>2.4899999999999999E-2</v>
      </c>
      <c r="AM34" s="8"/>
      <c r="AN34" s="38">
        <f t="shared" si="34"/>
        <v>-0.16073901947875091</v>
      </c>
      <c r="AO34" s="12">
        <f t="shared" si="48"/>
        <v>2.6289248805505096E-3</v>
      </c>
      <c r="AP34" s="12">
        <f t="shared" si="35"/>
        <v>-0.13048827664490231</v>
      </c>
      <c r="AQ34" s="12">
        <f t="shared" si="36"/>
        <v>2.5991858987824204E-3</v>
      </c>
      <c r="AR34" s="12">
        <f t="shared" si="37"/>
        <v>-0.14081379440817055</v>
      </c>
      <c r="AS34" s="12">
        <f t="shared" si="38"/>
        <v>4.372822422020594E-3</v>
      </c>
      <c r="AT34" s="12">
        <f t="shared" si="39"/>
        <v>-0.16175216651623803</v>
      </c>
      <c r="AU34" s="12">
        <f t="shared" si="40"/>
        <v>2.5915594930821036E-3</v>
      </c>
      <c r="AV34" s="12">
        <f t="shared" si="41"/>
        <v>-5.9944114070021426E-2</v>
      </c>
      <c r="AW34" s="42">
        <f t="shared" si="42"/>
        <v>2.6410695762049703E-2</v>
      </c>
      <c r="AX34" s="8"/>
      <c r="AY34" s="38"/>
      <c r="AZ34" s="12">
        <f t="shared" si="43"/>
        <v>0.83674375811783774</v>
      </c>
      <c r="BA34" s="12">
        <f t="shared" si="44"/>
        <v>1.0150600738983049</v>
      </c>
      <c r="BB34" s="12">
        <f t="shared" si="45"/>
        <v>-6.747933533208364E-2</v>
      </c>
      <c r="BC34" s="42">
        <f t="shared" si="46"/>
        <v>3.3898305084745735E-2</v>
      </c>
    </row>
    <row r="35" spans="1:55">
      <c r="A35" s="22">
        <v>26</v>
      </c>
      <c r="B35" s="23" t="s">
        <v>192</v>
      </c>
      <c r="C35" s="24">
        <v>56.386940000000003</v>
      </c>
      <c r="D35" s="24">
        <v>2.3024653136169464</v>
      </c>
      <c r="E35" s="3">
        <v>2</v>
      </c>
      <c r="F35" s="3">
        <v>-203.74384308141239</v>
      </c>
      <c r="G35" s="3">
        <v>2.1698706596136019</v>
      </c>
      <c r="H35" s="3">
        <v>92</v>
      </c>
      <c r="I35" s="3">
        <f t="shared" si="10"/>
        <v>1.3416407864998738</v>
      </c>
      <c r="J35" s="3">
        <v>-115</v>
      </c>
      <c r="K35" s="3">
        <f t="shared" si="11"/>
        <v>0.89442719099991586</v>
      </c>
      <c r="L35" s="3">
        <f t="shared" si="47"/>
        <v>0.95161290322580649</v>
      </c>
      <c r="M35" s="3">
        <f t="shared" si="12"/>
        <v>0.4</v>
      </c>
      <c r="N35" s="3">
        <v>-108.3</v>
      </c>
      <c r="O35" s="34">
        <v>24.9</v>
      </c>
      <c r="Q35" s="47">
        <f t="shared" si="13"/>
        <v>-158.84539493661339</v>
      </c>
      <c r="R35" s="48">
        <f t="shared" si="14"/>
        <v>2.6334153705887422</v>
      </c>
      <c r="S35" s="48">
        <f t="shared" si="15"/>
        <v>-130.4882766449023</v>
      </c>
      <c r="T35" s="48">
        <f t="shared" si="16"/>
        <v>2.5991858987824203</v>
      </c>
      <c r="U35" s="48">
        <f t="shared" si="17"/>
        <v>-140.81379440817054</v>
      </c>
      <c r="V35" s="48">
        <f t="shared" si="18"/>
        <v>4.3728224220205938</v>
      </c>
      <c r="W35" s="44">
        <f t="shared" si="19"/>
        <v>-159.76225598043251</v>
      </c>
      <c r="X35" s="45">
        <f t="shared" si="20"/>
        <v>2.5961697716739449</v>
      </c>
      <c r="Y35" s="46">
        <f t="shared" si="21"/>
        <v>-57.712522126760703</v>
      </c>
      <c r="Z35" s="45">
        <f t="shared" si="22"/>
        <v>26.473201708176934</v>
      </c>
      <c r="AA35" s="8"/>
      <c r="AB35" s="38">
        <f t="shared" si="23"/>
        <v>5.6386940000000003E-2</v>
      </c>
      <c r="AC35" s="12">
        <f t="shared" si="24"/>
        <v>2.3024653136169463E-3</v>
      </c>
      <c r="AD35" s="12">
        <f t="shared" si="25"/>
        <v>2.8857123282346854E-3</v>
      </c>
      <c r="AE35" s="12">
        <f t="shared" si="26"/>
        <v>-0.20374384308141238</v>
      </c>
      <c r="AF35" s="12">
        <f t="shared" si="27"/>
        <v>2.169870659613602E-3</v>
      </c>
      <c r="AG35" s="12">
        <f t="shared" si="28"/>
        <v>9.1999999999999998E-2</v>
      </c>
      <c r="AH35" s="12">
        <f t="shared" si="29"/>
        <v>1.3416407864998738E-3</v>
      </c>
      <c r="AI35" s="12">
        <f t="shared" si="30"/>
        <v>-0.115</v>
      </c>
      <c r="AJ35" s="12">
        <f t="shared" si="31"/>
        <v>8.9442719099991591E-4</v>
      </c>
      <c r="AK35" s="12">
        <f t="shared" si="32"/>
        <v>-0.10829999999999999</v>
      </c>
      <c r="AL35" s="42">
        <f t="shared" si="33"/>
        <v>2.4899999999999999E-2</v>
      </c>
      <c r="AM35" s="8"/>
      <c r="AN35" s="38">
        <f t="shared" si="34"/>
        <v>-0.1588453949366134</v>
      </c>
      <c r="AO35" s="12">
        <f t="shared" si="48"/>
        <v>2.633415370588742E-3</v>
      </c>
      <c r="AP35" s="12">
        <f t="shared" si="35"/>
        <v>-0.13048827664490231</v>
      </c>
      <c r="AQ35" s="12">
        <f t="shared" si="36"/>
        <v>2.5991858987824204E-3</v>
      </c>
      <c r="AR35" s="12">
        <f t="shared" si="37"/>
        <v>-0.14081379440817055</v>
      </c>
      <c r="AS35" s="12">
        <f t="shared" si="38"/>
        <v>4.372822422020594E-3</v>
      </c>
      <c r="AT35" s="12">
        <f t="shared" si="39"/>
        <v>-0.1597622559804325</v>
      </c>
      <c r="AU35" s="12">
        <f t="shared" si="40"/>
        <v>2.596169771673945E-3</v>
      </c>
      <c r="AV35" s="12">
        <f t="shared" si="41"/>
        <v>-5.7712522126760701E-2</v>
      </c>
      <c r="AW35" s="42">
        <f t="shared" si="42"/>
        <v>2.6473201708176932E-2</v>
      </c>
      <c r="AX35" s="8"/>
      <c r="AY35" s="38"/>
      <c r="AZ35" s="12">
        <f t="shared" si="43"/>
        <v>0.83674375811783774</v>
      </c>
      <c r="BA35" s="12">
        <f t="shared" si="44"/>
        <v>1.0175591572881355</v>
      </c>
      <c r="BB35" s="12">
        <f t="shared" si="45"/>
        <v>-6.747933533208364E-2</v>
      </c>
      <c r="BC35" s="42">
        <f t="shared" si="46"/>
        <v>3.3898305084745735E-2</v>
      </c>
    </row>
    <row r="36" spans="1:55">
      <c r="A36" s="22">
        <v>27</v>
      </c>
      <c r="B36" s="23" t="s">
        <v>192</v>
      </c>
      <c r="C36" s="24">
        <v>61.707810000000002</v>
      </c>
      <c r="D36" s="24">
        <v>2.3024653136169464</v>
      </c>
      <c r="E36" s="3">
        <v>2</v>
      </c>
      <c r="F36" s="3">
        <v>-203.74384308141239</v>
      </c>
      <c r="G36" s="3">
        <v>2.1698706596136019</v>
      </c>
      <c r="H36" s="3">
        <v>92</v>
      </c>
      <c r="I36" s="3">
        <f t="shared" si="10"/>
        <v>1.3416407864998738</v>
      </c>
      <c r="J36" s="3">
        <v>-115</v>
      </c>
      <c r="K36" s="3">
        <f t="shared" si="11"/>
        <v>0.89442719099991586</v>
      </c>
      <c r="L36" s="3">
        <f t="shared" si="47"/>
        <v>0.95161290322580649</v>
      </c>
      <c r="M36" s="3">
        <f t="shared" si="12"/>
        <v>0.4</v>
      </c>
      <c r="N36" s="3">
        <v>-108.3</v>
      </c>
      <c r="O36" s="34">
        <v>24.9</v>
      </c>
      <c r="Q36" s="47">
        <f t="shared" si="13"/>
        <v>-154.60861943895</v>
      </c>
      <c r="R36" s="48">
        <f t="shared" si="14"/>
        <v>2.6434712016361313</v>
      </c>
      <c r="S36" s="48">
        <f t="shared" si="15"/>
        <v>-130.4882766449023</v>
      </c>
      <c r="T36" s="48">
        <f t="shared" si="16"/>
        <v>2.5991858987824203</v>
      </c>
      <c r="U36" s="48">
        <f t="shared" si="17"/>
        <v>-140.81379440817054</v>
      </c>
      <c r="V36" s="48">
        <f t="shared" si="18"/>
        <v>4.3728224220205938</v>
      </c>
      <c r="W36" s="44">
        <f t="shared" si="19"/>
        <v>-155.31005122017604</v>
      </c>
      <c r="X36" s="45">
        <f t="shared" si="20"/>
        <v>2.6064960855997232</v>
      </c>
      <c r="Y36" s="46">
        <f t="shared" si="21"/>
        <v>-52.719581944797646</v>
      </c>
      <c r="Z36" s="45">
        <f t="shared" si="22"/>
        <v>26.613053646110153</v>
      </c>
      <c r="AA36" s="8"/>
      <c r="AB36" s="38">
        <f t="shared" si="23"/>
        <v>6.1707810000000002E-2</v>
      </c>
      <c r="AC36" s="12">
        <f t="shared" si="24"/>
        <v>2.3024653136169463E-3</v>
      </c>
      <c r="AD36" s="12">
        <f t="shared" si="25"/>
        <v>2.8857123282346854E-3</v>
      </c>
      <c r="AE36" s="12">
        <f t="shared" si="26"/>
        <v>-0.20374384308141238</v>
      </c>
      <c r="AF36" s="12">
        <f t="shared" si="27"/>
        <v>2.169870659613602E-3</v>
      </c>
      <c r="AG36" s="12">
        <f t="shared" si="28"/>
        <v>9.1999999999999998E-2</v>
      </c>
      <c r="AH36" s="12">
        <f t="shared" si="29"/>
        <v>1.3416407864998738E-3</v>
      </c>
      <c r="AI36" s="12">
        <f t="shared" si="30"/>
        <v>-0.115</v>
      </c>
      <c r="AJ36" s="12">
        <f t="shared" si="31"/>
        <v>8.9442719099991591E-4</v>
      </c>
      <c r="AK36" s="12">
        <f t="shared" si="32"/>
        <v>-0.10829999999999999</v>
      </c>
      <c r="AL36" s="42">
        <f t="shared" si="33"/>
        <v>2.4899999999999999E-2</v>
      </c>
      <c r="AM36" s="8"/>
      <c r="AN36" s="38">
        <f t="shared" si="34"/>
        <v>-0.15460861943894999</v>
      </c>
      <c r="AO36" s="12">
        <f t="shared" si="48"/>
        <v>2.6434712016361311E-3</v>
      </c>
      <c r="AP36" s="12">
        <f t="shared" si="35"/>
        <v>-0.13048827664490231</v>
      </c>
      <c r="AQ36" s="12">
        <f t="shared" si="36"/>
        <v>2.5991858987824204E-3</v>
      </c>
      <c r="AR36" s="12">
        <f t="shared" si="37"/>
        <v>-0.14081379440817055</v>
      </c>
      <c r="AS36" s="12">
        <f t="shared" si="38"/>
        <v>4.372822422020594E-3</v>
      </c>
      <c r="AT36" s="12">
        <f t="shared" si="39"/>
        <v>-0.15531005122017605</v>
      </c>
      <c r="AU36" s="12">
        <f t="shared" si="40"/>
        <v>2.6064960855997233E-3</v>
      </c>
      <c r="AV36" s="12">
        <f t="shared" si="41"/>
        <v>-5.2719581944797644E-2</v>
      </c>
      <c r="AW36" s="42">
        <f t="shared" si="42"/>
        <v>2.6613053646110153E-2</v>
      </c>
      <c r="AX36" s="8"/>
      <c r="AY36" s="38"/>
      <c r="AZ36" s="12">
        <f t="shared" si="43"/>
        <v>0.83674375811783774</v>
      </c>
      <c r="BA36" s="12">
        <f t="shared" si="44"/>
        <v>1.0231505799999998</v>
      </c>
      <c r="BB36" s="12">
        <f t="shared" si="45"/>
        <v>-6.747933533208364E-2</v>
      </c>
      <c r="BC36" s="42">
        <f t="shared" si="46"/>
        <v>3.3898305084745735E-2</v>
      </c>
    </row>
    <row r="37" spans="1:55">
      <c r="A37" s="22">
        <v>28</v>
      </c>
      <c r="B37" s="23" t="s">
        <v>192</v>
      </c>
      <c r="C37" s="24">
        <v>63.886420000000001</v>
      </c>
      <c r="D37" s="24">
        <v>2.3024653136169464</v>
      </c>
      <c r="E37" s="3">
        <v>2</v>
      </c>
      <c r="F37" s="3">
        <v>-203.74384308141239</v>
      </c>
      <c r="G37" s="3">
        <v>2.1698706596136019</v>
      </c>
      <c r="H37" s="3">
        <v>92</v>
      </c>
      <c r="I37" s="3">
        <f t="shared" si="10"/>
        <v>1.3416407864998738</v>
      </c>
      <c r="J37" s="3">
        <v>-115</v>
      </c>
      <c r="K37" s="3">
        <f t="shared" si="11"/>
        <v>0.89442719099991586</v>
      </c>
      <c r="L37" s="3">
        <f t="shared" si="47"/>
        <v>0.95161290322580649</v>
      </c>
      <c r="M37" s="3">
        <f t="shared" si="12"/>
        <v>0.4</v>
      </c>
      <c r="N37" s="3">
        <v>-108.3</v>
      </c>
      <c r="O37" s="34">
        <v>24.9</v>
      </c>
      <c r="Q37" s="47">
        <f t="shared" si="13"/>
        <v>-152.8738878129256</v>
      </c>
      <c r="R37" s="48">
        <f t="shared" si="14"/>
        <v>2.6475920306857037</v>
      </c>
      <c r="S37" s="48">
        <f t="shared" si="15"/>
        <v>-130.4882766449023</v>
      </c>
      <c r="T37" s="48">
        <f t="shared" si="16"/>
        <v>2.5991858987824203</v>
      </c>
      <c r="U37" s="48">
        <f t="shared" si="17"/>
        <v>-140.81379440817054</v>
      </c>
      <c r="V37" s="48">
        <f t="shared" si="18"/>
        <v>4.3728224220205938</v>
      </c>
      <c r="W37" s="44">
        <f t="shared" si="19"/>
        <v>-153.48711290130296</v>
      </c>
      <c r="X37" s="45">
        <f t="shared" si="20"/>
        <v>2.6107286393891922</v>
      </c>
      <c r="Y37" s="46">
        <f t="shared" si="21"/>
        <v>-50.675241562524342</v>
      </c>
      <c r="Z37" s="45">
        <f t="shared" si="22"/>
        <v>26.670316199929605</v>
      </c>
      <c r="AA37" s="8"/>
      <c r="AB37" s="38">
        <f t="shared" si="23"/>
        <v>6.3886419999999999E-2</v>
      </c>
      <c r="AC37" s="12">
        <f t="shared" si="24"/>
        <v>2.3024653136169463E-3</v>
      </c>
      <c r="AD37" s="12">
        <f t="shared" si="25"/>
        <v>2.8857123282346854E-3</v>
      </c>
      <c r="AE37" s="12">
        <f t="shared" si="26"/>
        <v>-0.20374384308141238</v>
      </c>
      <c r="AF37" s="12">
        <f t="shared" si="27"/>
        <v>2.169870659613602E-3</v>
      </c>
      <c r="AG37" s="12">
        <f t="shared" si="28"/>
        <v>9.1999999999999998E-2</v>
      </c>
      <c r="AH37" s="12">
        <f t="shared" si="29"/>
        <v>1.3416407864998738E-3</v>
      </c>
      <c r="AI37" s="12">
        <f t="shared" si="30"/>
        <v>-0.115</v>
      </c>
      <c r="AJ37" s="12">
        <f t="shared" si="31"/>
        <v>8.9442719099991591E-4</v>
      </c>
      <c r="AK37" s="12">
        <f t="shared" si="32"/>
        <v>-0.10829999999999999</v>
      </c>
      <c r="AL37" s="42">
        <f t="shared" si="33"/>
        <v>2.4899999999999999E-2</v>
      </c>
      <c r="AM37" s="8"/>
      <c r="AN37" s="38">
        <f t="shared" si="34"/>
        <v>-0.1528738878129256</v>
      </c>
      <c r="AO37" s="12">
        <f t="shared" si="48"/>
        <v>2.6475920306857038E-3</v>
      </c>
      <c r="AP37" s="12">
        <f t="shared" si="35"/>
        <v>-0.13048827664490231</v>
      </c>
      <c r="AQ37" s="12">
        <f t="shared" si="36"/>
        <v>2.5991858987824204E-3</v>
      </c>
      <c r="AR37" s="12">
        <f t="shared" si="37"/>
        <v>-0.14081379440817055</v>
      </c>
      <c r="AS37" s="12">
        <f t="shared" si="38"/>
        <v>4.372822422020594E-3</v>
      </c>
      <c r="AT37" s="12">
        <f t="shared" si="39"/>
        <v>-0.15348711290130296</v>
      </c>
      <c r="AU37" s="12">
        <f t="shared" si="40"/>
        <v>2.6107286393891923E-3</v>
      </c>
      <c r="AV37" s="12">
        <f t="shared" si="41"/>
        <v>-5.0675241562524342E-2</v>
      </c>
      <c r="AW37" s="42">
        <f t="shared" si="42"/>
        <v>2.6670316199929604E-2</v>
      </c>
      <c r="AX37" s="8"/>
      <c r="AY37" s="38"/>
      <c r="AZ37" s="12">
        <f t="shared" si="43"/>
        <v>0.83674375811783774</v>
      </c>
      <c r="BA37" s="12">
        <f t="shared" si="44"/>
        <v>1.025439966779661</v>
      </c>
      <c r="BB37" s="12">
        <f t="shared" si="45"/>
        <v>-6.747933533208364E-2</v>
      </c>
      <c r="BC37" s="42">
        <f t="shared" si="46"/>
        <v>3.3898305084745735E-2</v>
      </c>
    </row>
    <row r="38" spans="1:55">
      <c r="A38" s="22">
        <v>29</v>
      </c>
      <c r="B38" s="23" t="s">
        <v>192</v>
      </c>
      <c r="C38" s="24">
        <v>69.276750000000007</v>
      </c>
      <c r="D38" s="24">
        <v>2.3024653136169464</v>
      </c>
      <c r="E38" s="3">
        <v>2</v>
      </c>
      <c r="F38" s="3">
        <v>-203.74384308141239</v>
      </c>
      <c r="G38" s="3">
        <v>2.1698706596136019</v>
      </c>
      <c r="H38" s="3">
        <v>92</v>
      </c>
      <c r="I38" s="3">
        <f t="shared" si="10"/>
        <v>1.3416407864998738</v>
      </c>
      <c r="J38" s="3">
        <v>-115</v>
      </c>
      <c r="K38" s="3">
        <f t="shared" si="11"/>
        <v>0.89442719099991586</v>
      </c>
      <c r="L38" s="3">
        <f t="shared" si="47"/>
        <v>0.95161290322580649</v>
      </c>
      <c r="M38" s="3">
        <f t="shared" si="12"/>
        <v>0.4</v>
      </c>
      <c r="N38" s="3">
        <v>-108.3</v>
      </c>
      <c r="O38" s="34">
        <v>24.9</v>
      </c>
      <c r="Q38" s="47">
        <f t="shared" si="13"/>
        <v>-148.58180436260261</v>
      </c>
      <c r="R38" s="48">
        <f t="shared" si="14"/>
        <v>2.6577964884447951</v>
      </c>
      <c r="S38" s="48">
        <f t="shared" si="15"/>
        <v>-130.4882766449023</v>
      </c>
      <c r="T38" s="48">
        <f t="shared" si="16"/>
        <v>2.5991858987824203</v>
      </c>
      <c r="U38" s="48">
        <f t="shared" si="17"/>
        <v>-140.81379440817054</v>
      </c>
      <c r="V38" s="48">
        <f t="shared" si="18"/>
        <v>4.3728224220205938</v>
      </c>
      <c r="W38" s="44">
        <f t="shared" si="19"/>
        <v>-148.9767879196076</v>
      </c>
      <c r="X38" s="45">
        <f t="shared" si="20"/>
        <v>2.6212119391189339</v>
      </c>
      <c r="Y38" s="46">
        <f t="shared" si="21"/>
        <v>-45.617122260410035</v>
      </c>
      <c r="Z38" s="45">
        <f t="shared" si="22"/>
        <v>26.811997304804795</v>
      </c>
      <c r="AA38" s="8"/>
      <c r="AB38" s="38">
        <f t="shared" si="23"/>
        <v>6.9276750000000012E-2</v>
      </c>
      <c r="AC38" s="12">
        <f t="shared" si="24"/>
        <v>2.3024653136169463E-3</v>
      </c>
      <c r="AD38" s="12">
        <f t="shared" si="25"/>
        <v>2.8857123282346854E-3</v>
      </c>
      <c r="AE38" s="12">
        <f t="shared" si="26"/>
        <v>-0.20374384308141238</v>
      </c>
      <c r="AF38" s="12">
        <f t="shared" si="27"/>
        <v>2.169870659613602E-3</v>
      </c>
      <c r="AG38" s="12">
        <f t="shared" si="28"/>
        <v>9.1999999999999998E-2</v>
      </c>
      <c r="AH38" s="12">
        <f t="shared" si="29"/>
        <v>1.3416407864998738E-3</v>
      </c>
      <c r="AI38" s="12">
        <f t="shared" si="30"/>
        <v>-0.115</v>
      </c>
      <c r="AJ38" s="12">
        <f t="shared" si="31"/>
        <v>8.9442719099991591E-4</v>
      </c>
      <c r="AK38" s="12">
        <f t="shared" si="32"/>
        <v>-0.10829999999999999</v>
      </c>
      <c r="AL38" s="42">
        <f t="shared" si="33"/>
        <v>2.4899999999999999E-2</v>
      </c>
      <c r="AM38" s="8"/>
      <c r="AN38" s="38">
        <f t="shared" si="34"/>
        <v>-0.1485818043626026</v>
      </c>
      <c r="AO38" s="12">
        <f t="shared" si="48"/>
        <v>2.6577964884447951E-3</v>
      </c>
      <c r="AP38" s="12">
        <f t="shared" si="35"/>
        <v>-0.13048827664490231</v>
      </c>
      <c r="AQ38" s="12">
        <f t="shared" si="36"/>
        <v>2.5991858987824204E-3</v>
      </c>
      <c r="AR38" s="12">
        <f t="shared" si="37"/>
        <v>-0.14081379440817055</v>
      </c>
      <c r="AS38" s="12">
        <f t="shared" si="38"/>
        <v>4.372822422020594E-3</v>
      </c>
      <c r="AT38" s="12">
        <f t="shared" si="39"/>
        <v>-0.14897678791960761</v>
      </c>
      <c r="AU38" s="12">
        <f t="shared" si="40"/>
        <v>2.6212119391189341E-3</v>
      </c>
      <c r="AV38" s="12">
        <f t="shared" si="41"/>
        <v>-4.5617122260410037E-2</v>
      </c>
      <c r="AW38" s="42">
        <f t="shared" si="42"/>
        <v>2.6811997304804793E-2</v>
      </c>
      <c r="AX38" s="8"/>
      <c r="AY38" s="38"/>
      <c r="AZ38" s="12">
        <f t="shared" si="43"/>
        <v>0.83674375811783774</v>
      </c>
      <c r="BA38" s="12">
        <f t="shared" si="44"/>
        <v>1.031104381355932</v>
      </c>
      <c r="BB38" s="12">
        <f t="shared" si="45"/>
        <v>-6.747933533208364E-2</v>
      </c>
      <c r="BC38" s="42">
        <f t="shared" si="46"/>
        <v>3.3898305084745735E-2</v>
      </c>
    </row>
    <row r="39" spans="1:55">
      <c r="A39" s="22">
        <v>30</v>
      </c>
      <c r="B39" s="23" t="s">
        <v>192</v>
      </c>
      <c r="C39" s="24">
        <v>68.078509999999994</v>
      </c>
      <c r="D39" s="24">
        <v>2.3024653136169464</v>
      </c>
      <c r="E39" s="3">
        <v>4</v>
      </c>
      <c r="F39" s="3">
        <v>-203.74384308141239</v>
      </c>
      <c r="G39" s="3">
        <v>2.1698706596136019</v>
      </c>
      <c r="H39" s="3">
        <v>92</v>
      </c>
      <c r="I39" s="3">
        <f t="shared" si="10"/>
        <v>1.3416407864998738</v>
      </c>
      <c r="J39" s="3">
        <v>-115</v>
      </c>
      <c r="K39" s="3">
        <f t="shared" si="11"/>
        <v>0.89442719099991586</v>
      </c>
      <c r="L39" s="3">
        <f t="shared" si="47"/>
        <v>0.95161290322580649</v>
      </c>
      <c r="M39" s="3">
        <f t="shared" si="12"/>
        <v>0.4</v>
      </c>
      <c r="N39" s="3">
        <v>-108.3</v>
      </c>
      <c r="O39" s="34">
        <v>24.9</v>
      </c>
      <c r="Q39" s="47">
        <f t="shared" si="13"/>
        <v>-149.53591034006874</v>
      </c>
      <c r="R39" s="48">
        <f t="shared" si="14"/>
        <v>2.4922938748799695</v>
      </c>
      <c r="S39" s="48">
        <f t="shared" si="15"/>
        <v>-130.4882766449023</v>
      </c>
      <c r="T39" s="48">
        <f t="shared" si="16"/>
        <v>2.5991858987824203</v>
      </c>
      <c r="U39" s="48">
        <f t="shared" si="17"/>
        <v>-140.81379440817054</v>
      </c>
      <c r="V39" s="48">
        <f t="shared" si="18"/>
        <v>4.3728224220205938</v>
      </c>
      <c r="W39" s="44">
        <f t="shared" si="19"/>
        <v>-149.97940776033474</v>
      </c>
      <c r="X39" s="45">
        <f t="shared" si="20"/>
        <v>2.4352848228061466</v>
      </c>
      <c r="Y39" s="46">
        <f t="shared" si="21"/>
        <v>-46.741513693321465</v>
      </c>
      <c r="Z39" s="45">
        <f t="shared" si="22"/>
        <v>26.758704929673641</v>
      </c>
      <c r="AA39" s="8"/>
      <c r="AB39" s="38">
        <f t="shared" si="23"/>
        <v>6.8078509999999995E-2</v>
      </c>
      <c r="AC39" s="12">
        <f t="shared" si="24"/>
        <v>2.3024653136169463E-3</v>
      </c>
      <c r="AD39" s="12">
        <f t="shared" si="25"/>
        <v>2.4991001842651762E-3</v>
      </c>
      <c r="AE39" s="12">
        <f t="shared" si="26"/>
        <v>-0.20374384308141238</v>
      </c>
      <c r="AF39" s="12">
        <f t="shared" si="27"/>
        <v>2.169870659613602E-3</v>
      </c>
      <c r="AG39" s="12">
        <f t="shared" si="28"/>
        <v>9.1999999999999998E-2</v>
      </c>
      <c r="AH39" s="12">
        <f t="shared" si="29"/>
        <v>1.3416407864998738E-3</v>
      </c>
      <c r="AI39" s="12">
        <f t="shared" si="30"/>
        <v>-0.115</v>
      </c>
      <c r="AJ39" s="12">
        <f t="shared" si="31"/>
        <v>8.9442719099991591E-4</v>
      </c>
      <c r="AK39" s="12">
        <f t="shared" si="32"/>
        <v>-0.10829999999999999</v>
      </c>
      <c r="AL39" s="42">
        <f t="shared" si="33"/>
        <v>2.4899999999999999E-2</v>
      </c>
      <c r="AM39" s="8"/>
      <c r="AN39" s="38">
        <f t="shared" si="34"/>
        <v>-0.14953591034006875</v>
      </c>
      <c r="AO39" s="12">
        <f t="shared" si="48"/>
        <v>2.4922938748799693E-3</v>
      </c>
      <c r="AP39" s="12">
        <f t="shared" si="35"/>
        <v>-0.13048827664490231</v>
      </c>
      <c r="AQ39" s="12">
        <f t="shared" si="36"/>
        <v>2.5991858987824204E-3</v>
      </c>
      <c r="AR39" s="12">
        <f t="shared" si="37"/>
        <v>-0.14081379440817055</v>
      </c>
      <c r="AS39" s="12">
        <f t="shared" si="38"/>
        <v>4.372822422020594E-3</v>
      </c>
      <c r="AT39" s="12">
        <f t="shared" si="39"/>
        <v>-0.14997940776033475</v>
      </c>
      <c r="AU39" s="12">
        <f t="shared" si="40"/>
        <v>2.4352848228061464E-3</v>
      </c>
      <c r="AV39" s="12">
        <f t="shared" si="41"/>
        <v>-4.6741513693321468E-2</v>
      </c>
      <c r="AW39" s="42">
        <f t="shared" si="42"/>
        <v>2.6758704929673641E-2</v>
      </c>
      <c r="AX39" s="8"/>
      <c r="AY39" s="38"/>
      <c r="AZ39" s="12">
        <f t="shared" si="43"/>
        <v>0.83674375811783774</v>
      </c>
      <c r="BA39" s="12">
        <f t="shared" si="44"/>
        <v>1.029845213898305</v>
      </c>
      <c r="BB39" s="12">
        <f t="shared" si="45"/>
        <v>-6.747933533208364E-2</v>
      </c>
      <c r="BC39" s="42">
        <f t="shared" si="46"/>
        <v>3.3898305084745735E-2</v>
      </c>
    </row>
    <row r="40" spans="1:55">
      <c r="A40" s="22">
        <v>31</v>
      </c>
      <c r="B40" s="23" t="s">
        <v>192</v>
      </c>
      <c r="C40" s="24">
        <v>57.65558</v>
      </c>
      <c r="D40" s="24">
        <v>2.3024653136169464</v>
      </c>
      <c r="E40" s="3">
        <v>1</v>
      </c>
      <c r="F40" s="3">
        <v>-203.74384308141239</v>
      </c>
      <c r="G40" s="3">
        <v>2.1698706596136019</v>
      </c>
      <c r="H40" s="3">
        <v>92</v>
      </c>
      <c r="I40" s="3">
        <f t="shared" si="10"/>
        <v>1.3416407864998738</v>
      </c>
      <c r="J40" s="3">
        <v>-115</v>
      </c>
      <c r="K40" s="3">
        <f t="shared" si="11"/>
        <v>0.89442719099991586</v>
      </c>
      <c r="L40" s="3">
        <f t="shared" si="47"/>
        <v>0.95161290322580649</v>
      </c>
      <c r="M40" s="3">
        <f t="shared" si="12"/>
        <v>0.4</v>
      </c>
      <c r="N40" s="3">
        <v>-108.3</v>
      </c>
      <c r="O40" s="34">
        <v>24.9</v>
      </c>
      <c r="Q40" s="47">
        <f t="shared" si="13"/>
        <v>-157.83523252570021</v>
      </c>
      <c r="R40" s="48">
        <f t="shared" si="14"/>
        <v>2.9373617748961287</v>
      </c>
      <c r="S40" s="48">
        <f t="shared" si="15"/>
        <v>-130.4882766449023</v>
      </c>
      <c r="T40" s="48">
        <f t="shared" si="16"/>
        <v>2.5991858987824203</v>
      </c>
      <c r="U40" s="48">
        <f t="shared" si="17"/>
        <v>-140.81379440817054</v>
      </c>
      <c r="V40" s="48">
        <f t="shared" si="18"/>
        <v>4.3728224220205938</v>
      </c>
      <c r="W40" s="44">
        <f t="shared" si="19"/>
        <v>-158.70072937913389</v>
      </c>
      <c r="X40" s="45">
        <f t="shared" si="20"/>
        <v>2.934062505806935</v>
      </c>
      <c r="Y40" s="46">
        <f t="shared" si="21"/>
        <v>-56.522069506710793</v>
      </c>
      <c r="Z40" s="45">
        <f t="shared" si="22"/>
        <v>26.550536623966941</v>
      </c>
      <c r="AA40" s="8"/>
      <c r="AB40" s="38">
        <f t="shared" si="23"/>
        <v>5.7655579999999998E-2</v>
      </c>
      <c r="AC40" s="12">
        <f t="shared" si="24"/>
        <v>2.3024653136169463E-3</v>
      </c>
      <c r="AD40" s="12">
        <f t="shared" si="25"/>
        <v>2.3024653136169463E-3</v>
      </c>
      <c r="AE40" s="12">
        <f t="shared" si="26"/>
        <v>-0.20374384308141238</v>
      </c>
      <c r="AF40" s="12">
        <f t="shared" si="27"/>
        <v>2.169870659613602E-3</v>
      </c>
      <c r="AG40" s="12">
        <f t="shared" si="28"/>
        <v>9.1999999999999998E-2</v>
      </c>
      <c r="AH40" s="12">
        <f t="shared" si="29"/>
        <v>1.3416407864998738E-3</v>
      </c>
      <c r="AI40" s="12">
        <f t="shared" si="30"/>
        <v>-0.115</v>
      </c>
      <c r="AJ40" s="12">
        <f t="shared" si="31"/>
        <v>8.9442719099991591E-4</v>
      </c>
      <c r="AK40" s="12">
        <f t="shared" si="32"/>
        <v>-0.10829999999999999</v>
      </c>
      <c r="AL40" s="42">
        <f t="shared" si="33"/>
        <v>2.4899999999999999E-2</v>
      </c>
      <c r="AM40" s="8"/>
      <c r="AN40" s="38">
        <f t="shared" si="34"/>
        <v>-0.1578352325257002</v>
      </c>
      <c r="AO40" s="12">
        <f t="shared" si="48"/>
        <v>2.9373617748961289E-3</v>
      </c>
      <c r="AP40" s="12">
        <f t="shared" si="35"/>
        <v>-0.13048827664490231</v>
      </c>
      <c r="AQ40" s="12">
        <f t="shared" si="36"/>
        <v>2.5991858987824204E-3</v>
      </c>
      <c r="AR40" s="12">
        <f t="shared" si="37"/>
        <v>-0.14081379440817055</v>
      </c>
      <c r="AS40" s="12">
        <f t="shared" si="38"/>
        <v>4.372822422020594E-3</v>
      </c>
      <c r="AT40" s="12">
        <f t="shared" si="39"/>
        <v>-0.1587007293791339</v>
      </c>
      <c r="AU40" s="12">
        <f t="shared" si="40"/>
        <v>2.9340625058069348E-3</v>
      </c>
      <c r="AV40" s="12">
        <f t="shared" si="41"/>
        <v>-5.6522069506710793E-2</v>
      </c>
      <c r="AW40" s="42">
        <f t="shared" si="42"/>
        <v>2.655053662396694E-2</v>
      </c>
      <c r="AX40" s="8"/>
      <c r="AY40" s="38"/>
      <c r="AZ40" s="12">
        <f t="shared" si="43"/>
        <v>0.83674375811783774</v>
      </c>
      <c r="BA40" s="12">
        <f t="shared" si="44"/>
        <v>1.0188923044067795</v>
      </c>
      <c r="BB40" s="12">
        <f t="shared" si="45"/>
        <v>-6.747933533208364E-2</v>
      </c>
      <c r="BC40" s="42">
        <f t="shared" si="46"/>
        <v>3.3898305084745735E-2</v>
      </c>
    </row>
    <row r="41" spans="1:55">
      <c r="A41" s="22">
        <v>32</v>
      </c>
      <c r="B41" s="23" t="s">
        <v>192</v>
      </c>
      <c r="C41" s="24">
        <v>65.017399999999995</v>
      </c>
      <c r="D41" s="24">
        <v>2.3024653136169464</v>
      </c>
      <c r="E41" s="3">
        <v>2</v>
      </c>
      <c r="F41" s="3">
        <v>-203.74384308141239</v>
      </c>
      <c r="G41" s="3">
        <v>2.1698706596136019</v>
      </c>
      <c r="H41" s="3">
        <v>92</v>
      </c>
      <c r="I41" s="3">
        <f t="shared" si="10"/>
        <v>1.3416407864998738</v>
      </c>
      <c r="J41" s="3">
        <v>-115</v>
      </c>
      <c r="K41" s="3">
        <f t="shared" si="11"/>
        <v>0.89442719099991586</v>
      </c>
      <c r="L41" s="3">
        <f t="shared" si="47"/>
        <v>0.95161290322580649</v>
      </c>
      <c r="M41" s="3">
        <f t="shared" si="12"/>
        <v>0.4</v>
      </c>
      <c r="N41" s="3">
        <v>-108.3</v>
      </c>
      <c r="O41" s="34">
        <v>24.9</v>
      </c>
      <c r="Q41" s="47">
        <f t="shared" si="13"/>
        <v>-151.97333802457382</v>
      </c>
      <c r="R41" s="48">
        <f t="shared" si="14"/>
        <v>2.6497320717961759</v>
      </c>
      <c r="S41" s="48">
        <f t="shared" si="15"/>
        <v>-130.4882766449023</v>
      </c>
      <c r="T41" s="48">
        <f t="shared" si="16"/>
        <v>2.5991858987824203</v>
      </c>
      <c r="U41" s="48">
        <f t="shared" si="17"/>
        <v>-140.81379440817054</v>
      </c>
      <c r="V41" s="48">
        <f t="shared" si="18"/>
        <v>4.3728224220205938</v>
      </c>
      <c r="W41" s="44">
        <f t="shared" si="19"/>
        <v>-152.54077244574685</v>
      </c>
      <c r="X41" s="45">
        <f t="shared" si="20"/>
        <v>2.6129269021553627</v>
      </c>
      <c r="Y41" s="46">
        <f t="shared" si="21"/>
        <v>-49.613964837666117</v>
      </c>
      <c r="Z41" s="45">
        <f t="shared" si="22"/>
        <v>26.700043023062161</v>
      </c>
      <c r="AA41" s="8"/>
      <c r="AB41" s="38">
        <f t="shared" si="23"/>
        <v>6.5017399999999989E-2</v>
      </c>
      <c r="AC41" s="12">
        <f t="shared" si="24"/>
        <v>2.3024653136169463E-3</v>
      </c>
      <c r="AD41" s="12">
        <f t="shared" si="25"/>
        <v>2.8857123282346854E-3</v>
      </c>
      <c r="AE41" s="12">
        <f t="shared" si="26"/>
        <v>-0.20374384308141238</v>
      </c>
      <c r="AF41" s="12">
        <f t="shared" si="27"/>
        <v>2.169870659613602E-3</v>
      </c>
      <c r="AG41" s="12">
        <f t="shared" si="28"/>
        <v>9.1999999999999998E-2</v>
      </c>
      <c r="AH41" s="12">
        <f t="shared" si="29"/>
        <v>1.3416407864998738E-3</v>
      </c>
      <c r="AI41" s="12">
        <f t="shared" si="30"/>
        <v>-0.115</v>
      </c>
      <c r="AJ41" s="12">
        <f t="shared" si="31"/>
        <v>8.9442719099991591E-4</v>
      </c>
      <c r="AK41" s="12">
        <f t="shared" si="32"/>
        <v>-0.10829999999999999</v>
      </c>
      <c r="AL41" s="42">
        <f t="shared" si="33"/>
        <v>2.4899999999999999E-2</v>
      </c>
      <c r="AM41" s="8"/>
      <c r="AN41" s="38">
        <f t="shared" si="34"/>
        <v>-0.15197333802457383</v>
      </c>
      <c r="AO41" s="12">
        <f t="shared" si="48"/>
        <v>2.6497320717961759E-3</v>
      </c>
      <c r="AP41" s="12">
        <f t="shared" si="35"/>
        <v>-0.13048827664490231</v>
      </c>
      <c r="AQ41" s="12">
        <f t="shared" si="36"/>
        <v>2.5991858987824204E-3</v>
      </c>
      <c r="AR41" s="12">
        <f t="shared" si="37"/>
        <v>-0.14081379440817055</v>
      </c>
      <c r="AS41" s="12">
        <f t="shared" si="38"/>
        <v>4.372822422020594E-3</v>
      </c>
      <c r="AT41" s="12">
        <f t="shared" si="39"/>
        <v>-0.15254077244574685</v>
      </c>
      <c r="AU41" s="12">
        <f t="shared" si="40"/>
        <v>2.6129269021553628E-3</v>
      </c>
      <c r="AV41" s="12">
        <f t="shared" si="41"/>
        <v>-4.9613964837666114E-2</v>
      </c>
      <c r="AW41" s="42">
        <f t="shared" si="42"/>
        <v>2.670004302306216E-2</v>
      </c>
      <c r="AX41" s="8"/>
      <c r="AY41" s="38"/>
      <c r="AZ41" s="12">
        <f t="shared" si="43"/>
        <v>0.83674375811783774</v>
      </c>
      <c r="BA41" s="12">
        <f t="shared" si="44"/>
        <v>1.0266284542372879</v>
      </c>
      <c r="BB41" s="12">
        <f t="shared" si="45"/>
        <v>-6.747933533208364E-2</v>
      </c>
      <c r="BC41" s="42">
        <f t="shared" si="46"/>
        <v>3.3898305084745735E-2</v>
      </c>
    </row>
    <row r="42" spans="1:55">
      <c r="A42" s="22">
        <v>33</v>
      </c>
      <c r="B42" s="23" t="s">
        <v>192</v>
      </c>
      <c r="C42" s="24">
        <v>56.796770000000002</v>
      </c>
      <c r="D42" s="24">
        <v>2.3024653136169464</v>
      </c>
      <c r="E42" s="3">
        <v>2</v>
      </c>
      <c r="F42" s="3">
        <v>-203.74384308141239</v>
      </c>
      <c r="G42" s="3">
        <v>2.1698706596136019</v>
      </c>
      <c r="H42" s="3">
        <v>92</v>
      </c>
      <c r="I42" s="3">
        <f t="shared" si="10"/>
        <v>1.3416407864998738</v>
      </c>
      <c r="J42" s="3">
        <v>-115</v>
      </c>
      <c r="K42" s="3">
        <f t="shared" si="11"/>
        <v>0.89442719099991586</v>
      </c>
      <c r="L42" s="3">
        <f t="shared" si="47"/>
        <v>0.95161290322580649</v>
      </c>
      <c r="M42" s="3">
        <f t="shared" si="12"/>
        <v>0.4</v>
      </c>
      <c r="N42" s="3">
        <v>-108.3</v>
      </c>
      <c r="O42" s="34">
        <v>24.9</v>
      </c>
      <c r="Q42" s="47">
        <f t="shared" si="13"/>
        <v>-158.51906527582346</v>
      </c>
      <c r="R42" s="48">
        <f t="shared" si="14"/>
        <v>2.6341894678077122</v>
      </c>
      <c r="S42" s="48">
        <f t="shared" ref="S42:S59" si="49">IF($L42=1,"n/a",AP42*1000)</f>
        <v>-130.4882766449023</v>
      </c>
      <c r="T42" s="48">
        <f t="shared" ref="T42:T59" si="50">IF($L42=1,"n/a",AQ42*1000)</f>
        <v>2.5991858987824203</v>
      </c>
      <c r="U42" s="48">
        <f t="shared" ref="U42:U59" si="51">IF($L42=1,"n/a",AR42*1000)</f>
        <v>-140.81379440817054</v>
      </c>
      <c r="V42" s="48">
        <f t="shared" ref="V42:V59" si="52">IF($L42=1,"n/a",AS42*1000)</f>
        <v>4.3728224220205938</v>
      </c>
      <c r="W42" s="44">
        <f t="shared" ref="W42:W59" si="53">IF($C42="","n/a",AT42*1000)</f>
        <v>-159.41933328604307</v>
      </c>
      <c r="X42" s="45">
        <f t="shared" ref="X42:X59" si="54">IF($C42="","n/a",AU42*1000)</f>
        <v>2.5969645812995137</v>
      </c>
      <c r="Y42" s="46">
        <f t="shared" ref="Y42:Y59" si="55">IF($C42="","n/a",AV42*1000)</f>
        <v>-57.327950303962204</v>
      </c>
      <c r="Z42" s="45">
        <f t="shared" ref="Z42:Z59" si="56">IF($C42="","n/a",AW42*1000)</f>
        <v>26.483973452555695</v>
      </c>
      <c r="AA42" s="8"/>
      <c r="AB42" s="38">
        <f t="shared" si="23"/>
        <v>5.6796770000000003E-2</v>
      </c>
      <c r="AC42" s="12">
        <f t="shared" si="24"/>
        <v>2.3024653136169463E-3</v>
      </c>
      <c r="AD42" s="12">
        <f t="shared" si="25"/>
        <v>2.8857123282346854E-3</v>
      </c>
      <c r="AE42" s="12">
        <f t="shared" si="26"/>
        <v>-0.20374384308141238</v>
      </c>
      <c r="AF42" s="12">
        <f t="shared" si="27"/>
        <v>2.169870659613602E-3</v>
      </c>
      <c r="AG42" s="12">
        <f t="shared" si="28"/>
        <v>9.1999999999999998E-2</v>
      </c>
      <c r="AH42" s="12">
        <f t="shared" si="29"/>
        <v>1.3416407864998738E-3</v>
      </c>
      <c r="AI42" s="12">
        <f t="shared" si="30"/>
        <v>-0.115</v>
      </c>
      <c r="AJ42" s="12">
        <f t="shared" si="31"/>
        <v>8.9442719099991591E-4</v>
      </c>
      <c r="AK42" s="12">
        <f t="shared" si="32"/>
        <v>-0.10829999999999999</v>
      </c>
      <c r="AL42" s="42">
        <f t="shared" si="33"/>
        <v>2.4899999999999999E-2</v>
      </c>
      <c r="AM42" s="8"/>
      <c r="AN42" s="38">
        <f t="shared" si="34"/>
        <v>-0.15851906527582346</v>
      </c>
      <c r="AO42" s="12">
        <f t="shared" si="48"/>
        <v>2.6341894678077122E-3</v>
      </c>
      <c r="AP42" s="12">
        <f t="shared" ref="AP42:AP59" si="57">(AG42+AE42+AG42*AE42)</f>
        <v>-0.13048827664490231</v>
      </c>
      <c r="AQ42" s="12">
        <f t="shared" ref="AQ42:AQ59" si="58">SQRT((AH42*(1+AE42))^2 + (AF42*(1+AG42))^2)</f>
        <v>2.5991858987824204E-3</v>
      </c>
      <c r="AR42" s="12">
        <f t="shared" ref="AR42:AR59" si="59">(1/(1-M42))*(AG42+AE42+AG42*AE42)-(M42/(1-M42))*(AI42)</f>
        <v>-0.14081379440817055</v>
      </c>
      <c r="AS42" s="12">
        <f t="shared" ref="AS42:AS59" si="60">SQRT((AQ42*(1/(1-M42)))^2 + (AJ42*(-M42/(1-M42)))^2)</f>
        <v>4.372822422020594E-3</v>
      </c>
      <c r="AT42" s="12">
        <f t="shared" ref="AT42:AT59" si="61">(1/L42)*(AB42+AE42+AB42*AE42) - ((1-L42)/L42)*((1/(1-M42))*(AG42+AE42+AG42*AE42)-(M42/(1-M42))*(AI42))</f>
        <v>-0.15941933328604307</v>
      </c>
      <c r="AU42" s="12">
        <f t="shared" ref="AU42:AU59" si="62">SQRT((AZ42*AC42/SQRT(E42))^2 + (BA42*AF42)^2 + (BB42*AH42)^2 + (BC42*AJ42)^2)</f>
        <v>2.5969645812995135E-3</v>
      </c>
      <c r="AV42" s="12">
        <f t="shared" ref="AV42:AV59" si="63">(AT42+1)/(AK42+1)-1</f>
        <v>-5.7327950303962205E-2</v>
      </c>
      <c r="AW42" s="42">
        <f t="shared" ref="AW42:AW59" si="64">SQRT((1/(AK42+1))^2*AU42^2+((-(AT42+1))/(AK42+1)^2)^2*AL42^2)</f>
        <v>2.6483973452555695E-2</v>
      </c>
      <c r="AX42" s="8"/>
      <c r="AY42" s="38"/>
      <c r="AZ42" s="12">
        <f t="shared" si="43"/>
        <v>0.83674375811783774</v>
      </c>
      <c r="BA42" s="12">
        <f t="shared" si="44"/>
        <v>1.0179898261016949</v>
      </c>
      <c r="BB42" s="12">
        <f t="shared" si="45"/>
        <v>-6.747933533208364E-2</v>
      </c>
      <c r="BC42" s="42">
        <f t="shared" si="46"/>
        <v>3.3898305084745735E-2</v>
      </c>
    </row>
    <row r="43" spans="1:55">
      <c r="A43" s="22">
        <v>34</v>
      </c>
      <c r="B43" s="23" t="s">
        <v>192</v>
      </c>
      <c r="C43" s="24">
        <v>58.098460000000003</v>
      </c>
      <c r="D43" s="24">
        <v>2.3024653136169464</v>
      </c>
      <c r="E43" s="3">
        <v>3</v>
      </c>
      <c r="F43" s="3">
        <v>-203.74384308141239</v>
      </c>
      <c r="G43" s="3">
        <v>2.1698706596136019</v>
      </c>
      <c r="H43" s="3">
        <v>92</v>
      </c>
      <c r="I43" s="3">
        <f t="shared" si="10"/>
        <v>1.3416407864998738</v>
      </c>
      <c r="J43" s="3">
        <v>-115</v>
      </c>
      <c r="K43" s="3">
        <f t="shared" si="11"/>
        <v>0.89442719099991586</v>
      </c>
      <c r="L43" s="3">
        <f t="shared" si="47"/>
        <v>0.95161290322580649</v>
      </c>
      <c r="M43" s="3">
        <f t="shared" si="12"/>
        <v>0.4</v>
      </c>
      <c r="N43" s="3">
        <v>-108.3</v>
      </c>
      <c r="O43" s="34">
        <v>24.9</v>
      </c>
      <c r="Q43" s="47">
        <f t="shared" si="13"/>
        <v>-157.48258659892412</v>
      </c>
      <c r="R43" s="48">
        <f t="shared" si="14"/>
        <v>2.5281849641065461</v>
      </c>
      <c r="S43" s="48">
        <f t="shared" si="49"/>
        <v>-130.4882766449023</v>
      </c>
      <c r="T43" s="48">
        <f t="shared" si="50"/>
        <v>2.5991858987824203</v>
      </c>
      <c r="U43" s="48">
        <f t="shared" si="51"/>
        <v>-140.81379440817054</v>
      </c>
      <c r="V43" s="48">
        <f t="shared" si="52"/>
        <v>4.3728224220205938</v>
      </c>
      <c r="W43" s="44">
        <f t="shared" si="53"/>
        <v>-158.33015230353868</v>
      </c>
      <c r="X43" s="45">
        <f t="shared" si="54"/>
        <v>2.4776465051290439</v>
      </c>
      <c r="Y43" s="46">
        <f t="shared" si="55"/>
        <v>-56.106484583984262</v>
      </c>
      <c r="Z43" s="45">
        <f t="shared" si="56"/>
        <v>26.503513116765706</v>
      </c>
      <c r="AA43" s="8"/>
      <c r="AB43" s="38">
        <f t="shared" si="23"/>
        <v>5.8098460000000005E-2</v>
      </c>
      <c r="AC43" s="12">
        <f t="shared" si="24"/>
        <v>2.3024653136169463E-3</v>
      </c>
      <c r="AD43" s="12">
        <f t="shared" si="25"/>
        <v>2.5980538928453978E-3</v>
      </c>
      <c r="AE43" s="12">
        <f t="shared" si="26"/>
        <v>-0.20374384308141238</v>
      </c>
      <c r="AF43" s="12">
        <f t="shared" si="27"/>
        <v>2.169870659613602E-3</v>
      </c>
      <c r="AG43" s="12">
        <f t="shared" si="28"/>
        <v>9.1999999999999998E-2</v>
      </c>
      <c r="AH43" s="12">
        <f t="shared" si="29"/>
        <v>1.3416407864998738E-3</v>
      </c>
      <c r="AI43" s="12">
        <f t="shared" si="30"/>
        <v>-0.115</v>
      </c>
      <c r="AJ43" s="12">
        <f t="shared" si="31"/>
        <v>8.9442719099991591E-4</v>
      </c>
      <c r="AK43" s="12">
        <f t="shared" si="32"/>
        <v>-0.10829999999999999</v>
      </c>
      <c r="AL43" s="42">
        <f t="shared" si="33"/>
        <v>2.4899999999999999E-2</v>
      </c>
      <c r="AM43" s="8"/>
      <c r="AN43" s="38">
        <f t="shared" si="34"/>
        <v>-0.15748258659892411</v>
      </c>
      <c r="AO43" s="12">
        <f t="shared" si="48"/>
        <v>2.5281849641065461E-3</v>
      </c>
      <c r="AP43" s="12">
        <f t="shared" si="57"/>
        <v>-0.13048827664490231</v>
      </c>
      <c r="AQ43" s="12">
        <f t="shared" si="58"/>
        <v>2.5991858987824204E-3</v>
      </c>
      <c r="AR43" s="12">
        <f t="shared" si="59"/>
        <v>-0.14081379440817055</v>
      </c>
      <c r="AS43" s="12">
        <f t="shared" si="60"/>
        <v>4.372822422020594E-3</v>
      </c>
      <c r="AT43" s="12">
        <f t="shared" si="61"/>
        <v>-0.1583301523035387</v>
      </c>
      <c r="AU43" s="12">
        <f t="shared" si="62"/>
        <v>2.4776465051290441E-3</v>
      </c>
      <c r="AV43" s="12">
        <f t="shared" si="63"/>
        <v>-5.6106484583984262E-2</v>
      </c>
      <c r="AW43" s="42">
        <f t="shared" si="64"/>
        <v>2.6503513116765708E-2</v>
      </c>
      <c r="AX43" s="8"/>
      <c r="AY43" s="38"/>
      <c r="AZ43" s="12">
        <f t="shared" si="43"/>
        <v>0.83674375811783774</v>
      </c>
      <c r="BA43" s="12">
        <f t="shared" si="44"/>
        <v>1.0193577037288135</v>
      </c>
      <c r="BB43" s="12">
        <f t="shared" si="45"/>
        <v>-6.747933533208364E-2</v>
      </c>
      <c r="BC43" s="42">
        <f t="shared" si="46"/>
        <v>3.3898305084745735E-2</v>
      </c>
    </row>
    <row r="44" spans="1:55">
      <c r="A44" s="22">
        <v>35</v>
      </c>
      <c r="B44" s="23" t="s">
        <v>192</v>
      </c>
      <c r="C44" s="24">
        <v>58.970010000000002</v>
      </c>
      <c r="D44" s="24">
        <v>2.3024653136169464</v>
      </c>
      <c r="E44" s="3">
        <v>4</v>
      </c>
      <c r="F44" s="3">
        <v>-203.74384308141239</v>
      </c>
      <c r="G44" s="3">
        <v>2.1698706596136019</v>
      </c>
      <c r="H44" s="3">
        <v>92</v>
      </c>
      <c r="I44" s="3">
        <f t="shared" si="10"/>
        <v>1.3416407864998738</v>
      </c>
      <c r="J44" s="3">
        <v>-115</v>
      </c>
      <c r="K44" s="3">
        <f t="shared" si="11"/>
        <v>0.89442719099991586</v>
      </c>
      <c r="L44" s="3">
        <f t="shared" si="47"/>
        <v>0.95161290322580649</v>
      </c>
      <c r="M44" s="3">
        <f t="shared" si="12"/>
        <v>0.4</v>
      </c>
      <c r="N44" s="3">
        <v>-108.3</v>
      </c>
      <c r="O44" s="34">
        <v>24.9</v>
      </c>
      <c r="Q44" s="47">
        <f t="shared" si="13"/>
        <v>-156.78860954536174</v>
      </c>
      <c r="R44" s="48">
        <f t="shared" si="14"/>
        <v>2.4739256986726939</v>
      </c>
      <c r="S44" s="48">
        <f t="shared" si="49"/>
        <v>-130.4882766449023</v>
      </c>
      <c r="T44" s="48">
        <f t="shared" si="50"/>
        <v>2.5991858987824203</v>
      </c>
      <c r="U44" s="48">
        <f t="shared" si="51"/>
        <v>-140.81379440817054</v>
      </c>
      <c r="V44" s="48">
        <f t="shared" si="52"/>
        <v>4.3728224220205938</v>
      </c>
      <c r="W44" s="44">
        <f t="shared" si="53"/>
        <v>-157.6008882811511</v>
      </c>
      <c r="X44" s="45">
        <f t="shared" si="54"/>
        <v>2.4162409656194965</v>
      </c>
      <c r="Y44" s="46">
        <f t="shared" si="55"/>
        <v>-55.288648963946471</v>
      </c>
      <c r="Z44" s="45">
        <f t="shared" si="56"/>
        <v>26.519099904008687</v>
      </c>
      <c r="AA44" s="8"/>
      <c r="AB44" s="38">
        <f t="shared" si="23"/>
        <v>5.8970010000000003E-2</v>
      </c>
      <c r="AC44" s="12">
        <f t="shared" si="24"/>
        <v>2.3024653136169463E-3</v>
      </c>
      <c r="AD44" s="12">
        <f t="shared" si="25"/>
        <v>2.4991001842651762E-3</v>
      </c>
      <c r="AE44" s="12">
        <f t="shared" si="26"/>
        <v>-0.20374384308141238</v>
      </c>
      <c r="AF44" s="12">
        <f t="shared" si="27"/>
        <v>2.169870659613602E-3</v>
      </c>
      <c r="AG44" s="12">
        <f t="shared" si="28"/>
        <v>9.1999999999999998E-2</v>
      </c>
      <c r="AH44" s="12">
        <f t="shared" si="29"/>
        <v>1.3416407864998738E-3</v>
      </c>
      <c r="AI44" s="12">
        <f t="shared" si="30"/>
        <v>-0.115</v>
      </c>
      <c r="AJ44" s="12">
        <f t="shared" si="31"/>
        <v>8.9442719099991591E-4</v>
      </c>
      <c r="AK44" s="12">
        <f t="shared" si="32"/>
        <v>-0.10829999999999999</v>
      </c>
      <c r="AL44" s="42">
        <f t="shared" si="33"/>
        <v>2.4899999999999999E-2</v>
      </c>
      <c r="AM44" s="8"/>
      <c r="AN44" s="38">
        <f t="shared" si="34"/>
        <v>-0.15678860954536172</v>
      </c>
      <c r="AO44" s="12">
        <f t="shared" si="48"/>
        <v>2.473925698672694E-3</v>
      </c>
      <c r="AP44" s="12">
        <f t="shared" si="57"/>
        <v>-0.13048827664490231</v>
      </c>
      <c r="AQ44" s="12">
        <f t="shared" si="58"/>
        <v>2.5991858987824204E-3</v>
      </c>
      <c r="AR44" s="12">
        <f t="shared" si="59"/>
        <v>-0.14081379440817055</v>
      </c>
      <c r="AS44" s="12">
        <f t="shared" si="60"/>
        <v>4.372822422020594E-3</v>
      </c>
      <c r="AT44" s="12">
        <f t="shared" si="61"/>
        <v>-0.1576008882811511</v>
      </c>
      <c r="AU44" s="12">
        <f t="shared" si="62"/>
        <v>2.4162409656194967E-3</v>
      </c>
      <c r="AV44" s="12">
        <f t="shared" si="63"/>
        <v>-5.5288648963946474E-2</v>
      </c>
      <c r="AW44" s="42">
        <f t="shared" si="64"/>
        <v>2.6519099904008688E-2</v>
      </c>
      <c r="AX44" s="8"/>
      <c r="AY44" s="38"/>
      <c r="AZ44" s="12">
        <f t="shared" si="43"/>
        <v>0.83674375811783774</v>
      </c>
      <c r="BA44" s="12">
        <f t="shared" si="44"/>
        <v>1.0202735698305083</v>
      </c>
      <c r="BB44" s="12">
        <f t="shared" si="45"/>
        <v>-6.747933533208364E-2</v>
      </c>
      <c r="BC44" s="42">
        <f t="shared" si="46"/>
        <v>3.3898305084745735E-2</v>
      </c>
    </row>
    <row r="45" spans="1:55">
      <c r="A45" s="22">
        <v>36</v>
      </c>
      <c r="B45" s="23" t="s">
        <v>192</v>
      </c>
      <c r="C45" s="24">
        <v>56.88391</v>
      </c>
      <c r="D45" s="24">
        <v>2.3024653136169464</v>
      </c>
      <c r="E45" s="3">
        <v>3</v>
      </c>
      <c r="F45" s="3">
        <v>-203.74384308141239</v>
      </c>
      <c r="G45" s="3">
        <v>2.1698706596136019</v>
      </c>
      <c r="H45" s="3">
        <v>92</v>
      </c>
      <c r="I45" s="3">
        <f t="shared" si="10"/>
        <v>1.3416407864998738</v>
      </c>
      <c r="J45" s="3">
        <v>-115</v>
      </c>
      <c r="K45" s="3">
        <f t="shared" si="11"/>
        <v>0.89442719099991586</v>
      </c>
      <c r="L45" s="3">
        <f t="shared" si="47"/>
        <v>0.95161290322580649</v>
      </c>
      <c r="M45" s="3">
        <f t="shared" si="12"/>
        <v>0.4</v>
      </c>
      <c r="N45" s="3">
        <v>-108.3</v>
      </c>
      <c r="O45" s="34">
        <v>24.9</v>
      </c>
      <c r="Q45" s="47">
        <f t="shared" si="13"/>
        <v>-158.44967951430954</v>
      </c>
      <c r="R45" s="48">
        <f t="shared" si="14"/>
        <v>2.5257918875275691</v>
      </c>
      <c r="S45" s="48">
        <f t="shared" si="49"/>
        <v>-130.4882766449023</v>
      </c>
      <c r="T45" s="48">
        <f t="shared" si="50"/>
        <v>2.5991858987824203</v>
      </c>
      <c r="U45" s="48">
        <f t="shared" si="51"/>
        <v>-140.81379440817054</v>
      </c>
      <c r="V45" s="48">
        <f t="shared" si="52"/>
        <v>4.3728224220205938</v>
      </c>
      <c r="W45" s="44">
        <f t="shared" si="53"/>
        <v>-159.34641943496067</v>
      </c>
      <c r="X45" s="45">
        <f t="shared" si="54"/>
        <v>2.4751744692067295</v>
      </c>
      <c r="Y45" s="46">
        <f t="shared" si="55"/>
        <v>-57.246180817495443</v>
      </c>
      <c r="Z45" s="45">
        <f t="shared" si="56"/>
        <v>26.471572767564609</v>
      </c>
      <c r="AA45" s="8"/>
      <c r="AB45" s="38">
        <f t="shared" si="23"/>
        <v>5.6883910000000003E-2</v>
      </c>
      <c r="AC45" s="12">
        <f t="shared" si="24"/>
        <v>2.3024653136169463E-3</v>
      </c>
      <c r="AD45" s="12">
        <f t="shared" si="25"/>
        <v>2.5980538928453978E-3</v>
      </c>
      <c r="AE45" s="12">
        <f t="shared" si="26"/>
        <v>-0.20374384308141238</v>
      </c>
      <c r="AF45" s="12">
        <f t="shared" si="27"/>
        <v>2.169870659613602E-3</v>
      </c>
      <c r="AG45" s="12">
        <f t="shared" si="28"/>
        <v>9.1999999999999998E-2</v>
      </c>
      <c r="AH45" s="12">
        <f t="shared" si="29"/>
        <v>1.3416407864998738E-3</v>
      </c>
      <c r="AI45" s="12">
        <f t="shared" si="30"/>
        <v>-0.115</v>
      </c>
      <c r="AJ45" s="12">
        <f t="shared" si="31"/>
        <v>8.9442719099991591E-4</v>
      </c>
      <c r="AK45" s="12">
        <f t="shared" si="32"/>
        <v>-0.10829999999999999</v>
      </c>
      <c r="AL45" s="42">
        <f t="shared" si="33"/>
        <v>2.4899999999999999E-2</v>
      </c>
      <c r="AM45" s="8"/>
      <c r="AN45" s="38">
        <f t="shared" si="34"/>
        <v>-0.15844967951430955</v>
      </c>
      <c r="AO45" s="12">
        <f t="shared" si="48"/>
        <v>2.5257918875275691E-3</v>
      </c>
      <c r="AP45" s="12">
        <f t="shared" si="57"/>
        <v>-0.13048827664490231</v>
      </c>
      <c r="AQ45" s="12">
        <f t="shared" si="58"/>
        <v>2.5991858987824204E-3</v>
      </c>
      <c r="AR45" s="12">
        <f t="shared" si="59"/>
        <v>-0.14081379440817055</v>
      </c>
      <c r="AS45" s="12">
        <f t="shared" si="60"/>
        <v>4.372822422020594E-3</v>
      </c>
      <c r="AT45" s="12">
        <f t="shared" si="61"/>
        <v>-0.15934641943496067</v>
      </c>
      <c r="AU45" s="12">
        <f t="shared" si="62"/>
        <v>2.4751744692067296E-3</v>
      </c>
      <c r="AV45" s="12">
        <f t="shared" si="63"/>
        <v>-5.724618081749544E-2</v>
      </c>
      <c r="AW45" s="42">
        <f t="shared" si="64"/>
        <v>2.6471572767564608E-2</v>
      </c>
      <c r="AX45" s="8"/>
      <c r="AY45" s="38"/>
      <c r="AZ45" s="12">
        <f t="shared" si="43"/>
        <v>0.83674375811783774</v>
      </c>
      <c r="BA45" s="12">
        <f t="shared" si="44"/>
        <v>1.0180813969491525</v>
      </c>
      <c r="BB45" s="12">
        <f t="shared" si="45"/>
        <v>-6.747933533208364E-2</v>
      </c>
      <c r="BC45" s="42">
        <f t="shared" si="46"/>
        <v>3.3898305084745735E-2</v>
      </c>
    </row>
    <row r="46" spans="1:55">
      <c r="A46" s="22">
        <v>37</v>
      </c>
      <c r="B46" s="23" t="s">
        <v>192</v>
      </c>
      <c r="C46" s="24">
        <v>66.348569999999995</v>
      </c>
      <c r="D46" s="24">
        <v>2.3024653136169464</v>
      </c>
      <c r="E46" s="3">
        <v>2</v>
      </c>
      <c r="F46" s="3">
        <v>-203.74384308141239</v>
      </c>
      <c r="G46" s="3">
        <v>2.1698706596136019</v>
      </c>
      <c r="H46" s="3">
        <v>92</v>
      </c>
      <c r="I46" s="3">
        <f t="shared" si="10"/>
        <v>1.3416407864998738</v>
      </c>
      <c r="J46" s="3">
        <v>-115</v>
      </c>
      <c r="K46" s="3">
        <f t="shared" si="11"/>
        <v>0.89442719099991586</v>
      </c>
      <c r="L46" s="3">
        <f t="shared" si="47"/>
        <v>0.95161290322580649</v>
      </c>
      <c r="M46" s="3">
        <f t="shared" si="12"/>
        <v>0.4</v>
      </c>
      <c r="N46" s="3">
        <v>-108.3</v>
      </c>
      <c r="O46" s="34">
        <v>24.9</v>
      </c>
      <c r="Q46" s="47">
        <f t="shared" si="13"/>
        <v>-150.91338571616851</v>
      </c>
      <c r="R46" s="48">
        <f t="shared" si="14"/>
        <v>2.6522516094732742</v>
      </c>
      <c r="S46" s="48">
        <f t="shared" si="49"/>
        <v>-130.4882766449023</v>
      </c>
      <c r="T46" s="48">
        <f t="shared" si="50"/>
        <v>2.5991858987824203</v>
      </c>
      <c r="U46" s="48">
        <f t="shared" si="51"/>
        <v>-140.81379440817054</v>
      </c>
      <c r="V46" s="48">
        <f t="shared" si="52"/>
        <v>4.3728224220205938</v>
      </c>
      <c r="W46" s="44">
        <f t="shared" si="53"/>
        <v>-151.42692425725312</v>
      </c>
      <c r="X46" s="45">
        <f t="shared" si="54"/>
        <v>2.6155151607538034</v>
      </c>
      <c r="Y46" s="46">
        <f t="shared" si="55"/>
        <v>-48.364835995573841</v>
      </c>
      <c r="Z46" s="45">
        <f t="shared" si="56"/>
        <v>26.735031806228022</v>
      </c>
      <c r="AA46" s="8"/>
      <c r="AB46" s="38">
        <f t="shared" si="23"/>
        <v>6.6348569999999996E-2</v>
      </c>
      <c r="AC46" s="12">
        <f t="shared" si="24"/>
        <v>2.3024653136169463E-3</v>
      </c>
      <c r="AD46" s="12">
        <f t="shared" si="25"/>
        <v>2.8857123282346854E-3</v>
      </c>
      <c r="AE46" s="12">
        <f t="shared" si="26"/>
        <v>-0.20374384308141238</v>
      </c>
      <c r="AF46" s="12">
        <f t="shared" si="27"/>
        <v>2.169870659613602E-3</v>
      </c>
      <c r="AG46" s="12">
        <f t="shared" si="28"/>
        <v>9.1999999999999998E-2</v>
      </c>
      <c r="AH46" s="12">
        <f t="shared" si="29"/>
        <v>1.3416407864998738E-3</v>
      </c>
      <c r="AI46" s="12">
        <f t="shared" si="30"/>
        <v>-0.115</v>
      </c>
      <c r="AJ46" s="12">
        <f t="shared" si="31"/>
        <v>8.9442719099991591E-4</v>
      </c>
      <c r="AK46" s="12">
        <f t="shared" si="32"/>
        <v>-0.10829999999999999</v>
      </c>
      <c r="AL46" s="42">
        <f t="shared" si="33"/>
        <v>2.4899999999999999E-2</v>
      </c>
      <c r="AM46" s="8"/>
      <c r="AN46" s="38">
        <f t="shared" si="34"/>
        <v>-0.1509133857161685</v>
      </c>
      <c r="AO46" s="12">
        <f t="shared" si="48"/>
        <v>2.6522516094732744E-3</v>
      </c>
      <c r="AP46" s="12">
        <f t="shared" si="57"/>
        <v>-0.13048827664490231</v>
      </c>
      <c r="AQ46" s="12">
        <f t="shared" si="58"/>
        <v>2.5991858987824204E-3</v>
      </c>
      <c r="AR46" s="12">
        <f t="shared" si="59"/>
        <v>-0.14081379440817055</v>
      </c>
      <c r="AS46" s="12">
        <f t="shared" si="60"/>
        <v>4.372822422020594E-3</v>
      </c>
      <c r="AT46" s="12">
        <f t="shared" si="61"/>
        <v>-0.15142692425725313</v>
      </c>
      <c r="AU46" s="12">
        <f t="shared" si="62"/>
        <v>2.6155151607538036E-3</v>
      </c>
      <c r="AV46" s="12">
        <f t="shared" si="63"/>
        <v>-4.836483599557384E-2</v>
      </c>
      <c r="AW46" s="42">
        <f t="shared" si="64"/>
        <v>2.6735031806228021E-2</v>
      </c>
      <c r="AX46" s="8"/>
      <c r="AY46" s="38"/>
      <c r="AZ46" s="12">
        <f t="shared" si="43"/>
        <v>0.83674375811783774</v>
      </c>
      <c r="BA46" s="12">
        <f t="shared" si="44"/>
        <v>1.0280273108474574</v>
      </c>
      <c r="BB46" s="12">
        <f t="shared" si="45"/>
        <v>-6.747933533208364E-2</v>
      </c>
      <c r="BC46" s="42">
        <f t="shared" si="46"/>
        <v>3.3898305084745735E-2</v>
      </c>
    </row>
    <row r="47" spans="1:55">
      <c r="A47" s="22">
        <v>38</v>
      </c>
      <c r="B47" s="23" t="s">
        <v>192</v>
      </c>
      <c r="C47" s="24">
        <v>60.68544</v>
      </c>
      <c r="D47" s="24">
        <v>2.3024653136169464</v>
      </c>
      <c r="E47" s="3">
        <v>2</v>
      </c>
      <c r="F47" s="3">
        <v>-203.74384308141239</v>
      </c>
      <c r="G47" s="3">
        <v>2.1698706596136019</v>
      </c>
      <c r="H47" s="3">
        <v>92</v>
      </c>
      <c r="I47" s="3">
        <f t="shared" si="10"/>
        <v>1.3416407864998738</v>
      </c>
      <c r="J47" s="3">
        <v>-115</v>
      </c>
      <c r="K47" s="3">
        <f t="shared" si="11"/>
        <v>0.89442719099991586</v>
      </c>
      <c r="L47" s="3">
        <f t="shared" si="47"/>
        <v>0.95161290322580649</v>
      </c>
      <c r="M47" s="3">
        <f t="shared" si="12"/>
        <v>0.4</v>
      </c>
      <c r="N47" s="3">
        <v>-108.3</v>
      </c>
      <c r="O47" s="34">
        <v>24.9</v>
      </c>
      <c r="Q47" s="47">
        <f t="shared" si="13"/>
        <v>-155.42268784609882</v>
      </c>
      <c r="R47" s="48">
        <f t="shared" si="14"/>
        <v>2.6415380946411466</v>
      </c>
      <c r="S47" s="48">
        <f t="shared" si="49"/>
        <v>-130.4882766449023</v>
      </c>
      <c r="T47" s="48">
        <f t="shared" si="50"/>
        <v>2.5991858987824203</v>
      </c>
      <c r="U47" s="48">
        <f t="shared" si="51"/>
        <v>-140.81379440817054</v>
      </c>
      <c r="V47" s="48">
        <f t="shared" si="52"/>
        <v>4.3728224220205938</v>
      </c>
      <c r="W47" s="44">
        <f t="shared" si="53"/>
        <v>-156.16551293616297</v>
      </c>
      <c r="X47" s="45">
        <f t="shared" si="54"/>
        <v>2.6045107437209247</v>
      </c>
      <c r="Y47" s="46">
        <f t="shared" si="55"/>
        <v>-53.678942397850207</v>
      </c>
      <c r="Z47" s="45">
        <f t="shared" si="56"/>
        <v>26.586181829249458</v>
      </c>
      <c r="AA47" s="8"/>
      <c r="AB47" s="38">
        <f t="shared" si="23"/>
        <v>6.068544E-2</v>
      </c>
      <c r="AC47" s="12">
        <f t="shared" si="24"/>
        <v>2.3024653136169463E-3</v>
      </c>
      <c r="AD47" s="12">
        <f t="shared" si="25"/>
        <v>2.8857123282346854E-3</v>
      </c>
      <c r="AE47" s="12">
        <f t="shared" si="26"/>
        <v>-0.20374384308141238</v>
      </c>
      <c r="AF47" s="12">
        <f t="shared" si="27"/>
        <v>2.169870659613602E-3</v>
      </c>
      <c r="AG47" s="12">
        <f t="shared" si="28"/>
        <v>9.1999999999999998E-2</v>
      </c>
      <c r="AH47" s="12">
        <f t="shared" si="29"/>
        <v>1.3416407864998738E-3</v>
      </c>
      <c r="AI47" s="12">
        <f t="shared" si="30"/>
        <v>-0.115</v>
      </c>
      <c r="AJ47" s="12">
        <f t="shared" si="31"/>
        <v>8.9442719099991591E-4</v>
      </c>
      <c r="AK47" s="12">
        <f t="shared" si="32"/>
        <v>-0.10829999999999999</v>
      </c>
      <c r="AL47" s="42">
        <f t="shared" si="33"/>
        <v>2.4899999999999999E-2</v>
      </c>
      <c r="AM47" s="8"/>
      <c r="AN47" s="38">
        <f t="shared" si="34"/>
        <v>-0.15542268784609883</v>
      </c>
      <c r="AO47" s="12">
        <f t="shared" si="48"/>
        <v>2.6415380946411466E-3</v>
      </c>
      <c r="AP47" s="12">
        <f t="shared" si="57"/>
        <v>-0.13048827664490231</v>
      </c>
      <c r="AQ47" s="12">
        <f t="shared" si="58"/>
        <v>2.5991858987824204E-3</v>
      </c>
      <c r="AR47" s="12">
        <f t="shared" si="59"/>
        <v>-0.14081379440817055</v>
      </c>
      <c r="AS47" s="12">
        <f t="shared" si="60"/>
        <v>4.372822422020594E-3</v>
      </c>
      <c r="AT47" s="12">
        <f t="shared" si="61"/>
        <v>-0.15616551293616296</v>
      </c>
      <c r="AU47" s="12">
        <f t="shared" si="62"/>
        <v>2.6045107437209247E-3</v>
      </c>
      <c r="AV47" s="12">
        <f t="shared" si="63"/>
        <v>-5.3678942397850204E-2</v>
      </c>
      <c r="AW47" s="42">
        <f t="shared" si="64"/>
        <v>2.6586181829249458E-2</v>
      </c>
      <c r="AX47" s="8"/>
      <c r="AY47" s="38"/>
      <c r="AZ47" s="12">
        <f t="shared" si="43"/>
        <v>0.83674375811783774</v>
      </c>
      <c r="BA47" s="12">
        <f t="shared" si="44"/>
        <v>1.0220762250847457</v>
      </c>
      <c r="BB47" s="12">
        <f t="shared" si="45"/>
        <v>-6.747933533208364E-2</v>
      </c>
      <c r="BC47" s="42">
        <f t="shared" si="46"/>
        <v>3.3898305084745735E-2</v>
      </c>
    </row>
    <row r="48" spans="1:55">
      <c r="A48" s="22">
        <v>39</v>
      </c>
      <c r="B48" s="23" t="s">
        <v>192</v>
      </c>
      <c r="C48" s="24">
        <v>61.323230000000002</v>
      </c>
      <c r="D48" s="24">
        <v>2.3024653136169464</v>
      </c>
      <c r="E48" s="3">
        <v>2</v>
      </c>
      <c r="F48" s="3">
        <v>-203.74384308141239</v>
      </c>
      <c r="G48" s="3">
        <v>2.1698706596136019</v>
      </c>
      <c r="H48" s="3">
        <v>92</v>
      </c>
      <c r="I48" s="3">
        <f t="shared" si="10"/>
        <v>1.3416407864998738</v>
      </c>
      <c r="J48" s="3">
        <v>-115</v>
      </c>
      <c r="K48" s="3">
        <f t="shared" si="11"/>
        <v>0.89442719099991586</v>
      </c>
      <c r="L48" s="3">
        <f t="shared" si="47"/>
        <v>0.95161290322580649</v>
      </c>
      <c r="M48" s="3">
        <f t="shared" si="12"/>
        <v>0.4</v>
      </c>
      <c r="N48" s="3">
        <v>-108.3</v>
      </c>
      <c r="O48" s="34">
        <v>24.9</v>
      </c>
      <c r="Q48" s="47">
        <f t="shared" si="13"/>
        <v>-154.91484363177773</v>
      </c>
      <c r="R48" s="48">
        <f t="shared" si="14"/>
        <v>2.6427439814992191</v>
      </c>
      <c r="S48" s="48">
        <f t="shared" si="49"/>
        <v>-130.4882766449023</v>
      </c>
      <c r="T48" s="48">
        <f t="shared" si="50"/>
        <v>2.5991858987824203</v>
      </c>
      <c r="U48" s="48">
        <f t="shared" si="51"/>
        <v>-140.81379440817054</v>
      </c>
      <c r="V48" s="48">
        <f t="shared" si="52"/>
        <v>4.3728224220205938</v>
      </c>
      <c r="W48" s="44">
        <f t="shared" si="53"/>
        <v>-155.63184613467303</v>
      </c>
      <c r="X48" s="45">
        <f t="shared" si="54"/>
        <v>2.6057492018793558</v>
      </c>
      <c r="Y48" s="46">
        <f t="shared" si="55"/>
        <v>-53.080459946925117</v>
      </c>
      <c r="Z48" s="45">
        <f t="shared" si="56"/>
        <v>26.602945393524013</v>
      </c>
      <c r="AA48" s="8"/>
      <c r="AB48" s="38">
        <f t="shared" si="23"/>
        <v>6.1323229999999999E-2</v>
      </c>
      <c r="AC48" s="12">
        <f t="shared" si="24"/>
        <v>2.3024653136169463E-3</v>
      </c>
      <c r="AD48" s="12">
        <f t="shared" si="25"/>
        <v>2.8857123282346854E-3</v>
      </c>
      <c r="AE48" s="12">
        <f t="shared" si="26"/>
        <v>-0.20374384308141238</v>
      </c>
      <c r="AF48" s="12">
        <f t="shared" si="27"/>
        <v>2.169870659613602E-3</v>
      </c>
      <c r="AG48" s="12">
        <f t="shared" si="28"/>
        <v>9.1999999999999998E-2</v>
      </c>
      <c r="AH48" s="12">
        <f t="shared" si="29"/>
        <v>1.3416407864998738E-3</v>
      </c>
      <c r="AI48" s="12">
        <f t="shared" si="30"/>
        <v>-0.115</v>
      </c>
      <c r="AJ48" s="12">
        <f t="shared" si="31"/>
        <v>8.9442719099991591E-4</v>
      </c>
      <c r="AK48" s="12">
        <f t="shared" si="32"/>
        <v>-0.10829999999999999</v>
      </c>
      <c r="AL48" s="42">
        <f t="shared" si="33"/>
        <v>2.4899999999999999E-2</v>
      </c>
      <c r="AM48" s="8"/>
      <c r="AN48" s="38">
        <f t="shared" si="34"/>
        <v>-0.15491484363177774</v>
      </c>
      <c r="AO48" s="12">
        <f t="shared" si="48"/>
        <v>2.6427439814992191E-3</v>
      </c>
      <c r="AP48" s="12">
        <f t="shared" si="57"/>
        <v>-0.13048827664490231</v>
      </c>
      <c r="AQ48" s="12">
        <f t="shared" si="58"/>
        <v>2.5991858987824204E-3</v>
      </c>
      <c r="AR48" s="12">
        <f t="shared" si="59"/>
        <v>-0.14081379440817055</v>
      </c>
      <c r="AS48" s="12">
        <f t="shared" si="60"/>
        <v>4.372822422020594E-3</v>
      </c>
      <c r="AT48" s="12">
        <f t="shared" si="61"/>
        <v>-0.15563184613467301</v>
      </c>
      <c r="AU48" s="12">
        <f t="shared" si="62"/>
        <v>2.6057492018793558E-3</v>
      </c>
      <c r="AV48" s="12">
        <f t="shared" si="63"/>
        <v>-5.3080459946925118E-2</v>
      </c>
      <c r="AW48" s="42">
        <f t="shared" si="64"/>
        <v>2.6602945393524015E-2</v>
      </c>
      <c r="AX48" s="8"/>
      <c r="AY48" s="38"/>
      <c r="AZ48" s="12">
        <f t="shared" si="43"/>
        <v>0.83674375811783774</v>
      </c>
      <c r="BA48" s="12">
        <f t="shared" si="44"/>
        <v>1.0227464450847457</v>
      </c>
      <c r="BB48" s="12">
        <f t="shared" si="45"/>
        <v>-6.747933533208364E-2</v>
      </c>
      <c r="BC48" s="42">
        <f t="shared" si="46"/>
        <v>3.3898305084745735E-2</v>
      </c>
    </row>
    <row r="49" spans="1:55">
      <c r="A49" s="22">
        <v>40</v>
      </c>
      <c r="B49" s="23" t="s">
        <v>192</v>
      </c>
      <c r="C49" s="24">
        <v>64.722499999999997</v>
      </c>
      <c r="D49" s="24">
        <v>2.3024653136169464</v>
      </c>
      <c r="E49" s="3">
        <v>2</v>
      </c>
      <c r="F49" s="3">
        <v>-203.74384308141239</v>
      </c>
      <c r="G49" s="3">
        <v>2.1698706596136019</v>
      </c>
      <c r="H49" s="3">
        <v>92</v>
      </c>
      <c r="I49" s="3">
        <f t="shared" si="10"/>
        <v>1.3416407864998738</v>
      </c>
      <c r="J49" s="3">
        <v>-115</v>
      </c>
      <c r="K49" s="3">
        <f t="shared" si="11"/>
        <v>0.89442719099991586</v>
      </c>
      <c r="L49" s="3">
        <f t="shared" si="47"/>
        <v>0.95161290322580649</v>
      </c>
      <c r="M49" s="3">
        <f t="shared" si="12"/>
        <v>0.4</v>
      </c>
      <c r="N49" s="3">
        <v>-108.3</v>
      </c>
      <c r="O49" s="34">
        <v>24.9</v>
      </c>
      <c r="Q49" s="47">
        <f t="shared" si="13"/>
        <v>-152.20815396524912</v>
      </c>
      <c r="R49" s="48">
        <f t="shared" si="14"/>
        <v>2.6491740093316198</v>
      </c>
      <c r="S49" s="48">
        <f t="shared" si="49"/>
        <v>-130.4882766449023</v>
      </c>
      <c r="T49" s="48">
        <f t="shared" si="50"/>
        <v>2.5991858987824203</v>
      </c>
      <c r="U49" s="48">
        <f t="shared" si="51"/>
        <v>-140.81379440817054</v>
      </c>
      <c r="V49" s="48">
        <f t="shared" si="52"/>
        <v>4.3728224220205938</v>
      </c>
      <c r="W49" s="44">
        <f t="shared" si="53"/>
        <v>-152.78752818001581</v>
      </c>
      <c r="X49" s="45">
        <f t="shared" si="54"/>
        <v>2.6123536439589596</v>
      </c>
      <c r="Y49" s="46">
        <f t="shared" si="55"/>
        <v>-49.890689895722652</v>
      </c>
      <c r="Z49" s="45">
        <f t="shared" si="56"/>
        <v>26.692291823120808</v>
      </c>
      <c r="AA49" s="8"/>
      <c r="AB49" s="38">
        <f t="shared" si="23"/>
        <v>6.4722500000000002E-2</v>
      </c>
      <c r="AC49" s="12">
        <f t="shared" si="24"/>
        <v>2.3024653136169463E-3</v>
      </c>
      <c r="AD49" s="12">
        <f t="shared" si="25"/>
        <v>2.8857123282346854E-3</v>
      </c>
      <c r="AE49" s="12">
        <f t="shared" si="26"/>
        <v>-0.20374384308141238</v>
      </c>
      <c r="AF49" s="12">
        <f t="shared" si="27"/>
        <v>2.169870659613602E-3</v>
      </c>
      <c r="AG49" s="12">
        <f t="shared" si="28"/>
        <v>9.1999999999999998E-2</v>
      </c>
      <c r="AH49" s="12">
        <f t="shared" si="29"/>
        <v>1.3416407864998738E-3</v>
      </c>
      <c r="AI49" s="12">
        <f t="shared" si="30"/>
        <v>-0.115</v>
      </c>
      <c r="AJ49" s="12">
        <f t="shared" si="31"/>
        <v>8.9442719099991591E-4</v>
      </c>
      <c r="AK49" s="12">
        <f t="shared" si="32"/>
        <v>-0.10829999999999999</v>
      </c>
      <c r="AL49" s="42">
        <f t="shared" si="33"/>
        <v>2.4899999999999999E-2</v>
      </c>
      <c r="AM49" s="8"/>
      <c r="AN49" s="38">
        <f t="shared" si="34"/>
        <v>-0.15220815396524912</v>
      </c>
      <c r="AO49" s="12">
        <f t="shared" si="48"/>
        <v>2.6491740093316199E-3</v>
      </c>
      <c r="AP49" s="12">
        <f t="shared" si="57"/>
        <v>-0.13048827664490231</v>
      </c>
      <c r="AQ49" s="12">
        <f t="shared" si="58"/>
        <v>2.5991858987824204E-3</v>
      </c>
      <c r="AR49" s="12">
        <f t="shared" si="59"/>
        <v>-0.14081379440817055</v>
      </c>
      <c r="AS49" s="12">
        <f t="shared" si="60"/>
        <v>4.372822422020594E-3</v>
      </c>
      <c r="AT49" s="12">
        <f t="shared" si="61"/>
        <v>-0.15278752818001581</v>
      </c>
      <c r="AU49" s="12">
        <f t="shared" si="62"/>
        <v>2.6123536439589595E-3</v>
      </c>
      <c r="AV49" s="12">
        <f t="shared" si="63"/>
        <v>-4.9890689895722651E-2</v>
      </c>
      <c r="AW49" s="42">
        <f t="shared" si="64"/>
        <v>2.6692291823120808E-2</v>
      </c>
      <c r="AX49" s="8"/>
      <c r="AY49" s="38"/>
      <c r="AZ49" s="12">
        <f t="shared" si="43"/>
        <v>0.83674375811783774</v>
      </c>
      <c r="BA49" s="12">
        <f t="shared" si="44"/>
        <v>1.0263185593220339</v>
      </c>
      <c r="BB49" s="12">
        <f t="shared" si="45"/>
        <v>-6.747933533208364E-2</v>
      </c>
      <c r="BC49" s="42">
        <f t="shared" si="46"/>
        <v>3.3898305084745735E-2</v>
      </c>
    </row>
    <row r="50" spans="1:55">
      <c r="A50" s="22">
        <v>41</v>
      </c>
      <c r="B50" s="23" t="s">
        <v>192</v>
      </c>
      <c r="C50" s="24">
        <v>65.835380000000001</v>
      </c>
      <c r="D50" s="24">
        <v>2.3024653136169464</v>
      </c>
      <c r="E50" s="3">
        <v>3</v>
      </c>
      <c r="F50" s="3">
        <v>-203.74384308141239</v>
      </c>
      <c r="G50" s="3">
        <v>2.1698706596136019</v>
      </c>
      <c r="H50" s="3">
        <v>92</v>
      </c>
      <c r="I50" s="3">
        <f t="shared" si="10"/>
        <v>1.3416407864998738</v>
      </c>
      <c r="J50" s="3">
        <v>-115</v>
      </c>
      <c r="K50" s="3">
        <f t="shared" si="11"/>
        <v>0.89442719099991586</v>
      </c>
      <c r="L50" s="3">
        <f t="shared" si="47"/>
        <v>0.95161290322580649</v>
      </c>
      <c r="M50" s="3">
        <f t="shared" si="12"/>
        <v>0.4</v>
      </c>
      <c r="N50" s="3">
        <v>-108.3</v>
      </c>
      <c r="O50" s="34">
        <v>24.9</v>
      </c>
      <c r="Q50" s="47">
        <f t="shared" si="13"/>
        <v>-151.32201641333754</v>
      </c>
      <c r="R50" s="48">
        <f t="shared" si="14"/>
        <v>2.5434405750811719</v>
      </c>
      <c r="S50" s="48">
        <f t="shared" si="49"/>
        <v>-130.4882766449023</v>
      </c>
      <c r="T50" s="48">
        <f t="shared" si="50"/>
        <v>2.5991858987824203</v>
      </c>
      <c r="U50" s="48">
        <f t="shared" si="51"/>
        <v>-140.81379440817054</v>
      </c>
      <c r="V50" s="48">
        <f t="shared" si="52"/>
        <v>4.3728224220205938</v>
      </c>
      <c r="W50" s="44">
        <f t="shared" si="53"/>
        <v>-151.8563327864816</v>
      </c>
      <c r="X50" s="45">
        <f t="shared" si="54"/>
        <v>2.4934085303833604</v>
      </c>
      <c r="Y50" s="46">
        <f t="shared" si="55"/>
        <v>-48.846397652216652</v>
      </c>
      <c r="Z50" s="45">
        <f t="shared" si="56"/>
        <v>26.706981379278108</v>
      </c>
      <c r="AA50" s="8"/>
      <c r="AB50" s="38">
        <f t="shared" si="23"/>
        <v>6.5835379999999999E-2</v>
      </c>
      <c r="AC50" s="12">
        <f t="shared" si="24"/>
        <v>2.3024653136169463E-3</v>
      </c>
      <c r="AD50" s="12">
        <f t="shared" si="25"/>
        <v>2.5980538928453978E-3</v>
      </c>
      <c r="AE50" s="12">
        <f t="shared" si="26"/>
        <v>-0.20374384308141238</v>
      </c>
      <c r="AF50" s="12">
        <f t="shared" si="27"/>
        <v>2.169870659613602E-3</v>
      </c>
      <c r="AG50" s="12">
        <f t="shared" si="28"/>
        <v>9.1999999999999998E-2</v>
      </c>
      <c r="AH50" s="12">
        <f t="shared" si="29"/>
        <v>1.3416407864998738E-3</v>
      </c>
      <c r="AI50" s="12">
        <f t="shared" si="30"/>
        <v>-0.115</v>
      </c>
      <c r="AJ50" s="12">
        <f t="shared" si="31"/>
        <v>8.9442719099991591E-4</v>
      </c>
      <c r="AK50" s="12">
        <f t="shared" si="32"/>
        <v>-0.10829999999999999</v>
      </c>
      <c r="AL50" s="42">
        <f t="shared" si="33"/>
        <v>2.4899999999999999E-2</v>
      </c>
      <c r="AM50" s="8"/>
      <c r="AN50" s="38">
        <f t="shared" si="34"/>
        <v>-0.15132201641333753</v>
      </c>
      <c r="AO50" s="12">
        <f t="shared" si="48"/>
        <v>2.543440575081172E-3</v>
      </c>
      <c r="AP50" s="12">
        <f t="shared" si="57"/>
        <v>-0.13048827664490231</v>
      </c>
      <c r="AQ50" s="12">
        <f t="shared" si="58"/>
        <v>2.5991858987824204E-3</v>
      </c>
      <c r="AR50" s="12">
        <f t="shared" si="59"/>
        <v>-0.14081379440817055</v>
      </c>
      <c r="AS50" s="12">
        <f t="shared" si="60"/>
        <v>4.372822422020594E-3</v>
      </c>
      <c r="AT50" s="12">
        <f t="shared" si="61"/>
        <v>-0.15185633278648161</v>
      </c>
      <c r="AU50" s="12">
        <f t="shared" si="62"/>
        <v>2.4934085303833604E-3</v>
      </c>
      <c r="AV50" s="12">
        <f t="shared" si="63"/>
        <v>-4.8846397652216655E-2</v>
      </c>
      <c r="AW50" s="42">
        <f t="shared" si="64"/>
        <v>2.670698137927811E-2</v>
      </c>
      <c r="AX50" s="8"/>
      <c r="AY50" s="38"/>
      <c r="AZ50" s="12">
        <f t="shared" si="43"/>
        <v>0.83674375811783774</v>
      </c>
      <c r="BA50" s="12">
        <f t="shared" si="44"/>
        <v>1.0274880264406778</v>
      </c>
      <c r="BB50" s="12">
        <f t="shared" si="45"/>
        <v>-6.747933533208364E-2</v>
      </c>
      <c r="BC50" s="42">
        <f t="shared" si="46"/>
        <v>3.3898305084745735E-2</v>
      </c>
    </row>
    <row r="51" spans="1:55">
      <c r="A51" s="22">
        <v>42</v>
      </c>
      <c r="B51" s="23" t="s">
        <v>192</v>
      </c>
      <c r="C51" s="24">
        <v>65.689300000000003</v>
      </c>
      <c r="D51" s="24">
        <v>2.3024653136169464</v>
      </c>
      <c r="E51" s="3">
        <v>1</v>
      </c>
      <c r="F51" s="3">
        <v>-203.74384308141239</v>
      </c>
      <c r="G51" s="3">
        <v>2.1698706596136019</v>
      </c>
      <c r="H51" s="3">
        <v>92</v>
      </c>
      <c r="I51" s="3">
        <f t="shared" si="10"/>
        <v>1.3416407864998738</v>
      </c>
      <c r="J51" s="3">
        <v>-115</v>
      </c>
      <c r="K51" s="3">
        <f t="shared" si="11"/>
        <v>0.89442719099991586</v>
      </c>
      <c r="L51" s="3">
        <f t="shared" si="47"/>
        <v>0.95161290322580649</v>
      </c>
      <c r="M51" s="3">
        <f t="shared" si="12"/>
        <v>0.4</v>
      </c>
      <c r="N51" s="3">
        <v>-108.3</v>
      </c>
      <c r="O51" s="34">
        <v>24.9</v>
      </c>
      <c r="Q51" s="47">
        <f t="shared" si="13"/>
        <v>-151.4383335127402</v>
      </c>
      <c r="R51" s="48">
        <f t="shared" si="14"/>
        <v>2.9510016476579866</v>
      </c>
      <c r="S51" s="48">
        <f t="shared" si="49"/>
        <v>-130.4882766449023</v>
      </c>
      <c r="T51" s="48">
        <f t="shared" si="50"/>
        <v>2.5991858987824203</v>
      </c>
      <c r="U51" s="48">
        <f t="shared" si="51"/>
        <v>-140.81379440817054</v>
      </c>
      <c r="V51" s="48">
        <f t="shared" si="52"/>
        <v>4.3728224220205938</v>
      </c>
      <c r="W51" s="44">
        <f t="shared" si="53"/>
        <v>-151.97856431466744</v>
      </c>
      <c r="X51" s="45">
        <f t="shared" si="54"/>
        <v>2.9478904078290729</v>
      </c>
      <c r="Y51" s="46">
        <f t="shared" si="55"/>
        <v>-48.983474615529211</v>
      </c>
      <c r="Z51" s="45">
        <f t="shared" si="56"/>
        <v>26.761346917654009</v>
      </c>
      <c r="AA51" s="8"/>
      <c r="AB51" s="38">
        <f t="shared" si="23"/>
        <v>6.5689300000000006E-2</v>
      </c>
      <c r="AC51" s="12">
        <f t="shared" si="24"/>
        <v>2.3024653136169463E-3</v>
      </c>
      <c r="AD51" s="12">
        <f t="shared" si="25"/>
        <v>2.3024653136169463E-3</v>
      </c>
      <c r="AE51" s="12">
        <f t="shared" si="26"/>
        <v>-0.20374384308141238</v>
      </c>
      <c r="AF51" s="12">
        <f t="shared" si="27"/>
        <v>2.169870659613602E-3</v>
      </c>
      <c r="AG51" s="12">
        <f t="shared" si="28"/>
        <v>9.1999999999999998E-2</v>
      </c>
      <c r="AH51" s="12">
        <f t="shared" si="29"/>
        <v>1.3416407864998738E-3</v>
      </c>
      <c r="AI51" s="12">
        <f t="shared" si="30"/>
        <v>-0.115</v>
      </c>
      <c r="AJ51" s="12">
        <f t="shared" si="31"/>
        <v>8.9442719099991591E-4</v>
      </c>
      <c r="AK51" s="12">
        <f t="shared" si="32"/>
        <v>-0.10829999999999999</v>
      </c>
      <c r="AL51" s="42">
        <f t="shared" si="33"/>
        <v>2.4899999999999999E-2</v>
      </c>
      <c r="AM51" s="8"/>
      <c r="AN51" s="38">
        <f t="shared" si="34"/>
        <v>-0.15143833351274019</v>
      </c>
      <c r="AO51" s="12">
        <f t="shared" si="48"/>
        <v>2.9510016476579867E-3</v>
      </c>
      <c r="AP51" s="12">
        <f t="shared" si="57"/>
        <v>-0.13048827664490231</v>
      </c>
      <c r="AQ51" s="12">
        <f t="shared" si="58"/>
        <v>2.5991858987824204E-3</v>
      </c>
      <c r="AR51" s="12">
        <f t="shared" si="59"/>
        <v>-0.14081379440817055</v>
      </c>
      <c r="AS51" s="12">
        <f t="shared" si="60"/>
        <v>4.372822422020594E-3</v>
      </c>
      <c r="AT51" s="12">
        <f t="shared" si="61"/>
        <v>-0.15197856431466744</v>
      </c>
      <c r="AU51" s="12">
        <f t="shared" si="62"/>
        <v>2.9478904078290729E-3</v>
      </c>
      <c r="AV51" s="12">
        <f t="shared" si="63"/>
        <v>-4.898347461552921E-2</v>
      </c>
      <c r="AW51" s="42">
        <f t="shared" si="64"/>
        <v>2.676134691765401E-2</v>
      </c>
      <c r="AX51" s="8"/>
      <c r="AY51" s="38"/>
      <c r="AZ51" s="12">
        <f t="shared" si="43"/>
        <v>0.83674375811783774</v>
      </c>
      <c r="BA51" s="12">
        <f t="shared" si="44"/>
        <v>1.0273345186440677</v>
      </c>
      <c r="BB51" s="12">
        <f t="shared" si="45"/>
        <v>-6.747933533208364E-2</v>
      </c>
      <c r="BC51" s="42">
        <f t="shared" si="46"/>
        <v>3.3898305084745735E-2</v>
      </c>
    </row>
    <row r="52" spans="1:55">
      <c r="A52" s="22">
        <v>43</v>
      </c>
      <c r="B52" s="23" t="s">
        <v>192</v>
      </c>
      <c r="C52" s="24">
        <v>67.06277</v>
      </c>
      <c r="D52" s="24">
        <v>2.3024653136169464</v>
      </c>
      <c r="E52" s="3">
        <v>2</v>
      </c>
      <c r="F52" s="3">
        <v>-203.74384308141239</v>
      </c>
      <c r="G52" s="3">
        <v>2.1698706596136019</v>
      </c>
      <c r="H52" s="3">
        <v>92</v>
      </c>
      <c r="I52" s="3">
        <f t="shared" si="10"/>
        <v>1.3416407864998738</v>
      </c>
      <c r="J52" s="3">
        <v>-115</v>
      </c>
      <c r="K52" s="3">
        <f t="shared" si="11"/>
        <v>0.89442719099991586</v>
      </c>
      <c r="L52" s="3">
        <f t="shared" si="47"/>
        <v>0.95161290322580649</v>
      </c>
      <c r="M52" s="3">
        <f t="shared" si="12"/>
        <v>0.4</v>
      </c>
      <c r="N52" s="3">
        <v>-108.3</v>
      </c>
      <c r="O52" s="34">
        <v>24.9</v>
      </c>
      <c r="Q52" s="47">
        <f t="shared" si="13"/>
        <v>-150.34469956889723</v>
      </c>
      <c r="R52" s="48">
        <f t="shared" si="14"/>
        <v>2.6536037030110493</v>
      </c>
      <c r="S52" s="48">
        <f t="shared" si="49"/>
        <v>-130.4882766449023</v>
      </c>
      <c r="T52" s="48">
        <f t="shared" si="50"/>
        <v>2.5991858987824203</v>
      </c>
      <c r="U52" s="48">
        <f t="shared" si="51"/>
        <v>-140.81379440817054</v>
      </c>
      <c r="V52" s="48">
        <f t="shared" si="52"/>
        <v>4.3728224220205938</v>
      </c>
      <c r="W52" s="44">
        <f t="shared" si="53"/>
        <v>-150.82932186520537</v>
      </c>
      <c r="X52" s="45">
        <f t="shared" si="54"/>
        <v>2.6169042105723856</v>
      </c>
      <c r="Y52" s="46">
        <f t="shared" si="55"/>
        <v>-47.694652759005749</v>
      </c>
      <c r="Z52" s="45">
        <f t="shared" si="56"/>
        <v>26.753804068223879</v>
      </c>
      <c r="AA52" s="8"/>
      <c r="AB52" s="38">
        <f t="shared" si="23"/>
        <v>6.7062769999999994E-2</v>
      </c>
      <c r="AC52" s="12">
        <f t="shared" si="24"/>
        <v>2.3024653136169463E-3</v>
      </c>
      <c r="AD52" s="12">
        <f t="shared" si="25"/>
        <v>2.8857123282346854E-3</v>
      </c>
      <c r="AE52" s="12">
        <f t="shared" si="26"/>
        <v>-0.20374384308141238</v>
      </c>
      <c r="AF52" s="12">
        <f t="shared" si="27"/>
        <v>2.169870659613602E-3</v>
      </c>
      <c r="AG52" s="12">
        <f t="shared" si="28"/>
        <v>9.1999999999999998E-2</v>
      </c>
      <c r="AH52" s="12">
        <f t="shared" si="29"/>
        <v>1.3416407864998738E-3</v>
      </c>
      <c r="AI52" s="12">
        <f t="shared" si="30"/>
        <v>-0.115</v>
      </c>
      <c r="AJ52" s="12">
        <f t="shared" si="31"/>
        <v>8.9442719099991591E-4</v>
      </c>
      <c r="AK52" s="12">
        <f t="shared" si="32"/>
        <v>-0.10829999999999999</v>
      </c>
      <c r="AL52" s="42">
        <f t="shared" si="33"/>
        <v>2.4899999999999999E-2</v>
      </c>
      <c r="AM52" s="8"/>
      <c r="AN52" s="38">
        <f t="shared" si="34"/>
        <v>-0.15034469956889723</v>
      </c>
      <c r="AO52" s="12">
        <f t="shared" si="48"/>
        <v>2.6536037030110492E-3</v>
      </c>
      <c r="AP52" s="12">
        <f t="shared" si="57"/>
        <v>-0.13048827664490231</v>
      </c>
      <c r="AQ52" s="12">
        <f t="shared" si="58"/>
        <v>2.5991858987824204E-3</v>
      </c>
      <c r="AR52" s="12">
        <f t="shared" si="59"/>
        <v>-0.14081379440817055</v>
      </c>
      <c r="AS52" s="12">
        <f t="shared" si="60"/>
        <v>4.372822422020594E-3</v>
      </c>
      <c r="AT52" s="12">
        <f t="shared" si="61"/>
        <v>-0.15082932186520537</v>
      </c>
      <c r="AU52" s="12">
        <f t="shared" si="62"/>
        <v>2.6169042105723857E-3</v>
      </c>
      <c r="AV52" s="12">
        <f t="shared" si="63"/>
        <v>-4.7694652759005751E-2</v>
      </c>
      <c r="AW52" s="42">
        <f t="shared" si="64"/>
        <v>2.6753804068223877E-2</v>
      </c>
      <c r="AX52" s="8"/>
      <c r="AY52" s="38"/>
      <c r="AZ52" s="12">
        <f t="shared" si="43"/>
        <v>0.83674375811783774</v>
      </c>
      <c r="BA52" s="12">
        <f t="shared" si="44"/>
        <v>1.0287778261016947</v>
      </c>
      <c r="BB52" s="12">
        <f t="shared" si="45"/>
        <v>-6.747933533208364E-2</v>
      </c>
      <c r="BC52" s="42">
        <f t="shared" si="46"/>
        <v>3.3898305084745735E-2</v>
      </c>
    </row>
    <row r="53" spans="1:55">
      <c r="A53" s="22">
        <v>44</v>
      </c>
      <c r="B53" s="23" t="s">
        <v>192</v>
      </c>
      <c r="C53" s="24">
        <v>68.893439999999998</v>
      </c>
      <c r="D53" s="24">
        <v>2.3024653136169464</v>
      </c>
      <c r="E53" s="3">
        <v>2</v>
      </c>
      <c r="F53" s="3">
        <v>-203.74384308141239</v>
      </c>
      <c r="G53" s="3">
        <v>2.1698706596136019</v>
      </c>
      <c r="H53" s="3">
        <v>92</v>
      </c>
      <c r="I53" s="3">
        <f t="shared" si="10"/>
        <v>1.3416407864998738</v>
      </c>
      <c r="J53" s="3">
        <v>-115</v>
      </c>
      <c r="K53" s="3">
        <f t="shared" si="11"/>
        <v>0.89442719099991586</v>
      </c>
      <c r="L53" s="3">
        <f t="shared" si="47"/>
        <v>0.95161290322580649</v>
      </c>
      <c r="M53" s="3">
        <f t="shared" si="12"/>
        <v>0.4</v>
      </c>
      <c r="N53" s="3">
        <v>-108.3</v>
      </c>
      <c r="O53" s="34">
        <v>24.9</v>
      </c>
      <c r="Q53" s="47">
        <f t="shared" si="13"/>
        <v>-148.88701731011108</v>
      </c>
      <c r="R53" s="48">
        <f t="shared" si="14"/>
        <v>2.6570704364553053</v>
      </c>
      <c r="S53" s="48">
        <f t="shared" si="49"/>
        <v>-130.4882766449023</v>
      </c>
      <c r="T53" s="48">
        <f t="shared" si="50"/>
        <v>2.5991858987824203</v>
      </c>
      <c r="U53" s="48">
        <f t="shared" si="51"/>
        <v>-140.81379440817054</v>
      </c>
      <c r="V53" s="48">
        <f t="shared" si="52"/>
        <v>4.3728224220205938</v>
      </c>
      <c r="W53" s="44">
        <f t="shared" si="53"/>
        <v>-149.29752016953177</v>
      </c>
      <c r="X53" s="45">
        <f t="shared" si="54"/>
        <v>2.6204659457199408</v>
      </c>
      <c r="Y53" s="46">
        <f t="shared" si="55"/>
        <v>-45.976808533735422</v>
      </c>
      <c r="Z53" s="45">
        <f t="shared" si="56"/>
        <v>26.80192218423727</v>
      </c>
      <c r="AA53" s="8"/>
      <c r="AB53" s="38">
        <f t="shared" si="23"/>
        <v>6.889344E-2</v>
      </c>
      <c r="AC53" s="12">
        <f t="shared" si="24"/>
        <v>2.3024653136169463E-3</v>
      </c>
      <c r="AD53" s="12">
        <f t="shared" si="25"/>
        <v>2.8857123282346854E-3</v>
      </c>
      <c r="AE53" s="12">
        <f t="shared" si="26"/>
        <v>-0.20374384308141238</v>
      </c>
      <c r="AF53" s="12">
        <f t="shared" si="27"/>
        <v>2.169870659613602E-3</v>
      </c>
      <c r="AG53" s="12">
        <f t="shared" si="28"/>
        <v>9.1999999999999998E-2</v>
      </c>
      <c r="AH53" s="12">
        <f t="shared" si="29"/>
        <v>1.3416407864998738E-3</v>
      </c>
      <c r="AI53" s="12">
        <f t="shared" si="30"/>
        <v>-0.115</v>
      </c>
      <c r="AJ53" s="12">
        <f t="shared" si="31"/>
        <v>8.9442719099991591E-4</v>
      </c>
      <c r="AK53" s="12">
        <f t="shared" si="32"/>
        <v>-0.10829999999999999</v>
      </c>
      <c r="AL53" s="42">
        <f t="shared" si="33"/>
        <v>2.4899999999999999E-2</v>
      </c>
      <c r="AM53" s="8"/>
      <c r="AN53" s="38">
        <f t="shared" si="34"/>
        <v>-0.14888701731011109</v>
      </c>
      <c r="AO53" s="12">
        <f t="shared" si="48"/>
        <v>2.6570704364553051E-3</v>
      </c>
      <c r="AP53" s="12">
        <f t="shared" si="57"/>
        <v>-0.13048827664490231</v>
      </c>
      <c r="AQ53" s="12">
        <f t="shared" si="58"/>
        <v>2.5991858987824204E-3</v>
      </c>
      <c r="AR53" s="12">
        <f t="shared" si="59"/>
        <v>-0.14081379440817055</v>
      </c>
      <c r="AS53" s="12">
        <f t="shared" si="60"/>
        <v>4.372822422020594E-3</v>
      </c>
      <c r="AT53" s="12">
        <f t="shared" si="61"/>
        <v>-0.14929752016953177</v>
      </c>
      <c r="AU53" s="12">
        <f t="shared" si="62"/>
        <v>2.6204659457199409E-3</v>
      </c>
      <c r="AV53" s="12">
        <f t="shared" si="63"/>
        <v>-4.5976808533735425E-2</v>
      </c>
      <c r="AW53" s="42">
        <f t="shared" si="64"/>
        <v>2.680192218423727E-2</v>
      </c>
      <c r="AX53" s="8"/>
      <c r="AY53" s="38"/>
      <c r="AZ53" s="12">
        <f t="shared" si="43"/>
        <v>0.83674375811783774</v>
      </c>
      <c r="BA53" s="12">
        <f t="shared" si="44"/>
        <v>1.0307015810169491</v>
      </c>
      <c r="BB53" s="12">
        <f t="shared" si="45"/>
        <v>-6.747933533208364E-2</v>
      </c>
      <c r="BC53" s="42">
        <f t="shared" si="46"/>
        <v>3.3898305084745735E-2</v>
      </c>
    </row>
    <row r="54" spans="1:55">
      <c r="A54" s="22">
        <v>45</v>
      </c>
      <c r="B54" s="23" t="s">
        <v>192</v>
      </c>
      <c r="C54" s="24">
        <v>69.499660000000006</v>
      </c>
      <c r="D54" s="24">
        <v>2.3024653136169464</v>
      </c>
      <c r="E54" s="3">
        <v>2</v>
      </c>
      <c r="F54" s="3">
        <v>-203.74384308141239</v>
      </c>
      <c r="G54" s="3">
        <v>2.1698706596136019</v>
      </c>
      <c r="H54" s="3">
        <v>92</v>
      </c>
      <c r="I54" s="3">
        <f t="shared" si="10"/>
        <v>1.3416407864998738</v>
      </c>
      <c r="J54" s="3">
        <v>-115</v>
      </c>
      <c r="K54" s="3">
        <f t="shared" si="11"/>
        <v>0.89442719099991586</v>
      </c>
      <c r="L54" s="3">
        <f t="shared" si="47"/>
        <v>0.95161290322580649</v>
      </c>
      <c r="M54" s="3">
        <f t="shared" si="12"/>
        <v>0.4</v>
      </c>
      <c r="N54" s="3">
        <v>-108.3</v>
      </c>
      <c r="O54" s="34">
        <v>24.9</v>
      </c>
      <c r="Q54" s="47">
        <f t="shared" si="13"/>
        <v>-148.40431090266389</v>
      </c>
      <c r="R54" s="48">
        <f t="shared" si="14"/>
        <v>2.6582187450145223</v>
      </c>
      <c r="S54" s="48">
        <f t="shared" si="49"/>
        <v>-130.4882766449023</v>
      </c>
      <c r="T54" s="48">
        <f t="shared" si="50"/>
        <v>2.5991858987824203</v>
      </c>
      <c r="U54" s="48">
        <f t="shared" si="51"/>
        <v>-140.81379440817054</v>
      </c>
      <c r="V54" s="48">
        <f t="shared" si="52"/>
        <v>4.3728224220205938</v>
      </c>
      <c r="W54" s="44">
        <f t="shared" si="53"/>
        <v>-148.79026936848558</v>
      </c>
      <c r="X54" s="45">
        <f t="shared" si="54"/>
        <v>2.6216458003130225</v>
      </c>
      <c r="Y54" s="46">
        <f t="shared" si="55"/>
        <v>-45.407950396417654</v>
      </c>
      <c r="Z54" s="45">
        <f t="shared" si="56"/>
        <v>26.81785639357965</v>
      </c>
      <c r="AA54" s="8"/>
      <c r="AB54" s="38">
        <f t="shared" si="23"/>
        <v>6.9499660000000005E-2</v>
      </c>
      <c r="AC54" s="12">
        <f t="shared" si="24"/>
        <v>2.3024653136169463E-3</v>
      </c>
      <c r="AD54" s="12">
        <f t="shared" si="25"/>
        <v>2.8857123282346854E-3</v>
      </c>
      <c r="AE54" s="12">
        <f t="shared" si="26"/>
        <v>-0.20374384308141238</v>
      </c>
      <c r="AF54" s="12">
        <f t="shared" si="27"/>
        <v>2.169870659613602E-3</v>
      </c>
      <c r="AG54" s="12">
        <f t="shared" si="28"/>
        <v>9.1999999999999998E-2</v>
      </c>
      <c r="AH54" s="12">
        <f t="shared" si="29"/>
        <v>1.3416407864998738E-3</v>
      </c>
      <c r="AI54" s="12">
        <f t="shared" si="30"/>
        <v>-0.115</v>
      </c>
      <c r="AJ54" s="12">
        <f t="shared" si="31"/>
        <v>8.9442719099991591E-4</v>
      </c>
      <c r="AK54" s="12">
        <f t="shared" si="32"/>
        <v>-0.10829999999999999</v>
      </c>
      <c r="AL54" s="42">
        <f t="shared" si="33"/>
        <v>2.4899999999999999E-2</v>
      </c>
      <c r="AM54" s="8"/>
      <c r="AN54" s="38">
        <f t="shared" si="34"/>
        <v>-0.1484043109026639</v>
      </c>
      <c r="AO54" s="12">
        <f t="shared" si="48"/>
        <v>2.6582187450145222E-3</v>
      </c>
      <c r="AP54" s="12">
        <f t="shared" si="57"/>
        <v>-0.13048827664490231</v>
      </c>
      <c r="AQ54" s="12">
        <f t="shared" si="58"/>
        <v>2.5991858987824204E-3</v>
      </c>
      <c r="AR54" s="12">
        <f t="shared" si="59"/>
        <v>-0.14081379440817055</v>
      </c>
      <c r="AS54" s="12">
        <f t="shared" si="60"/>
        <v>4.372822422020594E-3</v>
      </c>
      <c r="AT54" s="12">
        <f t="shared" si="61"/>
        <v>-0.14879026936848558</v>
      </c>
      <c r="AU54" s="12">
        <f t="shared" si="62"/>
        <v>2.6216458003130226E-3</v>
      </c>
      <c r="AV54" s="12">
        <f t="shared" si="63"/>
        <v>-4.5407950396417651E-2</v>
      </c>
      <c r="AW54" s="42">
        <f t="shared" si="64"/>
        <v>2.6817856393579649E-2</v>
      </c>
      <c r="AX54" s="8"/>
      <c r="AY54" s="38"/>
      <c r="AZ54" s="12">
        <f t="shared" si="43"/>
        <v>0.83674375811783774</v>
      </c>
      <c r="BA54" s="12">
        <f t="shared" si="44"/>
        <v>1.0313386257627117</v>
      </c>
      <c r="BB54" s="12">
        <f t="shared" si="45"/>
        <v>-6.747933533208364E-2</v>
      </c>
      <c r="BC54" s="42">
        <f t="shared" si="46"/>
        <v>3.3898305084745735E-2</v>
      </c>
    </row>
    <row r="55" spans="1:55">
      <c r="A55" s="22">
        <v>46</v>
      </c>
      <c r="B55" s="23" t="s">
        <v>192</v>
      </c>
      <c r="C55" s="24">
        <v>84.966179999999994</v>
      </c>
      <c r="D55" s="24">
        <v>2.3024653136169464</v>
      </c>
      <c r="E55" s="3">
        <v>5</v>
      </c>
      <c r="F55" s="3">
        <v>-203.74384308141239</v>
      </c>
      <c r="G55" s="3">
        <v>2.1698706596136019</v>
      </c>
      <c r="H55" s="3">
        <v>92</v>
      </c>
      <c r="I55" s="3">
        <f t="shared" si="10"/>
        <v>1.3416407864998738</v>
      </c>
      <c r="J55" s="3">
        <v>-115</v>
      </c>
      <c r="K55" s="3">
        <f t="shared" si="11"/>
        <v>0.89442719099991586</v>
      </c>
      <c r="L55" s="3">
        <f t="shared" si="47"/>
        <v>0.95161290322580649</v>
      </c>
      <c r="M55" s="3">
        <f t="shared" si="12"/>
        <v>0.4</v>
      </c>
      <c r="N55" s="3">
        <v>-108.3</v>
      </c>
      <c r="O55" s="34">
        <v>24.9</v>
      </c>
      <c r="Q55" s="47">
        <f t="shared" si="13"/>
        <v>-136.08899912655943</v>
      </c>
      <c r="R55" s="48">
        <f t="shared" si="14"/>
        <v>2.4929228848571725</v>
      </c>
      <c r="S55" s="48">
        <f t="shared" si="49"/>
        <v>-130.4882766449023</v>
      </c>
      <c r="T55" s="48">
        <f t="shared" si="50"/>
        <v>2.5991858987824203</v>
      </c>
      <c r="U55" s="48">
        <f t="shared" si="51"/>
        <v>-140.81379440817054</v>
      </c>
      <c r="V55" s="48">
        <f t="shared" si="52"/>
        <v>4.3728224220205938</v>
      </c>
      <c r="W55" s="44">
        <f t="shared" si="53"/>
        <v>-135.84875529868089</v>
      </c>
      <c r="X55" s="45">
        <f t="shared" si="54"/>
        <v>2.4328193510002869</v>
      </c>
      <c r="Y55" s="46">
        <f t="shared" si="55"/>
        <v>-30.894645394954566</v>
      </c>
      <c r="Z55" s="45">
        <f t="shared" si="56"/>
        <v>27.198665102959119</v>
      </c>
      <c r="AA55" s="8"/>
      <c r="AB55" s="38">
        <f t="shared" si="23"/>
        <v>8.4966179999999988E-2</v>
      </c>
      <c r="AC55" s="12">
        <f t="shared" si="24"/>
        <v>2.3024653136169463E-3</v>
      </c>
      <c r="AD55" s="12">
        <f t="shared" si="25"/>
        <v>2.4494687006921183E-3</v>
      </c>
      <c r="AE55" s="12">
        <f t="shared" si="26"/>
        <v>-0.20374384308141238</v>
      </c>
      <c r="AF55" s="12">
        <f t="shared" si="27"/>
        <v>2.169870659613602E-3</v>
      </c>
      <c r="AG55" s="12">
        <f t="shared" si="28"/>
        <v>9.1999999999999998E-2</v>
      </c>
      <c r="AH55" s="12">
        <f t="shared" si="29"/>
        <v>1.3416407864998738E-3</v>
      </c>
      <c r="AI55" s="12">
        <f t="shared" si="30"/>
        <v>-0.115</v>
      </c>
      <c r="AJ55" s="12">
        <f t="shared" si="31"/>
        <v>8.9442719099991591E-4</v>
      </c>
      <c r="AK55" s="12">
        <f t="shared" si="32"/>
        <v>-0.10829999999999999</v>
      </c>
      <c r="AL55" s="42">
        <f t="shared" si="33"/>
        <v>2.4899999999999999E-2</v>
      </c>
      <c r="AM55" s="8"/>
      <c r="AN55" s="38">
        <f t="shared" si="34"/>
        <v>-0.13608899912655942</v>
      </c>
      <c r="AO55" s="12">
        <f t="shared" si="48"/>
        <v>2.4929228848571726E-3</v>
      </c>
      <c r="AP55" s="12">
        <f t="shared" si="57"/>
        <v>-0.13048827664490231</v>
      </c>
      <c r="AQ55" s="12">
        <f t="shared" si="58"/>
        <v>2.5991858987824204E-3</v>
      </c>
      <c r="AR55" s="12">
        <f t="shared" si="59"/>
        <v>-0.14081379440817055</v>
      </c>
      <c r="AS55" s="12">
        <f t="shared" si="60"/>
        <v>4.372822422020594E-3</v>
      </c>
      <c r="AT55" s="12">
        <f t="shared" si="61"/>
        <v>-0.13584875529868087</v>
      </c>
      <c r="AU55" s="12">
        <f t="shared" si="62"/>
        <v>2.4328193510002871E-3</v>
      </c>
      <c r="AV55" s="12">
        <f t="shared" si="63"/>
        <v>-3.0894645394954567E-2</v>
      </c>
      <c r="AW55" s="42">
        <f t="shared" si="64"/>
        <v>2.7198665102959117E-2</v>
      </c>
      <c r="AX55" s="8"/>
      <c r="AY55" s="38"/>
      <c r="AZ55" s="12">
        <f t="shared" si="43"/>
        <v>0.83674375811783774</v>
      </c>
      <c r="BA55" s="12">
        <f t="shared" si="44"/>
        <v>1.0475915789830506</v>
      </c>
      <c r="BB55" s="12">
        <f t="shared" si="45"/>
        <v>-6.747933533208364E-2</v>
      </c>
      <c r="BC55" s="42">
        <f t="shared" si="46"/>
        <v>3.3898305084745735E-2</v>
      </c>
    </row>
    <row r="56" spans="1:55">
      <c r="A56" s="22">
        <v>47</v>
      </c>
      <c r="B56" s="23" t="s">
        <v>192</v>
      </c>
      <c r="C56" s="24">
        <v>98.527640000000005</v>
      </c>
      <c r="D56" s="24">
        <v>2.3024653136169464</v>
      </c>
      <c r="E56" s="3">
        <v>1</v>
      </c>
      <c r="F56" s="3">
        <v>-203.74384308141239</v>
      </c>
      <c r="G56" s="3">
        <v>2.1698706596136019</v>
      </c>
      <c r="H56" s="3">
        <v>92</v>
      </c>
      <c r="I56" s="3">
        <f t="shared" si="10"/>
        <v>1.3416407864998738</v>
      </c>
      <c r="J56" s="3">
        <v>-115</v>
      </c>
      <c r="K56" s="3">
        <f t="shared" si="11"/>
        <v>0.89442719099991586</v>
      </c>
      <c r="L56" s="3">
        <f t="shared" si="47"/>
        <v>0.95161290322580649</v>
      </c>
      <c r="M56" s="3">
        <f t="shared" si="12"/>
        <v>0.4</v>
      </c>
      <c r="N56" s="3">
        <v>-108.3</v>
      </c>
      <c r="O56" s="34">
        <v>24.9</v>
      </c>
      <c r="Q56" s="47">
        <f t="shared" si="13"/>
        <v>-125.29060310475427</v>
      </c>
      <c r="R56" s="48">
        <f t="shared" si="14"/>
        <v>3.0071629519460941</v>
      </c>
      <c r="S56" s="48">
        <f t="shared" si="49"/>
        <v>-130.4882766449023</v>
      </c>
      <c r="T56" s="48">
        <f t="shared" si="50"/>
        <v>2.5991858987824203</v>
      </c>
      <c r="U56" s="48">
        <f t="shared" si="51"/>
        <v>-140.81379440817054</v>
      </c>
      <c r="V56" s="48">
        <f t="shared" si="52"/>
        <v>4.3728224220205938</v>
      </c>
      <c r="W56" s="44">
        <f t="shared" si="53"/>
        <v>-124.50128829271614</v>
      </c>
      <c r="X56" s="45">
        <f t="shared" si="54"/>
        <v>3.0049123931078254</v>
      </c>
      <c r="Y56" s="46">
        <f t="shared" si="55"/>
        <v>-18.16898989875093</v>
      </c>
      <c r="Z56" s="45">
        <f t="shared" si="56"/>
        <v>27.623158464261873</v>
      </c>
      <c r="AA56" s="8"/>
      <c r="AB56" s="38">
        <f t="shared" si="23"/>
        <v>9.852764E-2</v>
      </c>
      <c r="AC56" s="12">
        <f t="shared" si="24"/>
        <v>2.3024653136169463E-3</v>
      </c>
      <c r="AD56" s="12">
        <f t="shared" si="25"/>
        <v>2.3024653136169463E-3</v>
      </c>
      <c r="AE56" s="12">
        <f t="shared" si="26"/>
        <v>-0.20374384308141238</v>
      </c>
      <c r="AF56" s="12">
        <f t="shared" si="27"/>
        <v>2.169870659613602E-3</v>
      </c>
      <c r="AG56" s="12">
        <f t="shared" si="28"/>
        <v>9.1999999999999998E-2</v>
      </c>
      <c r="AH56" s="12">
        <f t="shared" si="29"/>
        <v>1.3416407864998738E-3</v>
      </c>
      <c r="AI56" s="12">
        <f t="shared" si="30"/>
        <v>-0.115</v>
      </c>
      <c r="AJ56" s="12">
        <f t="shared" si="31"/>
        <v>8.9442719099991591E-4</v>
      </c>
      <c r="AK56" s="12">
        <f t="shared" si="32"/>
        <v>-0.10829999999999999</v>
      </c>
      <c r="AL56" s="42">
        <f t="shared" si="33"/>
        <v>2.4899999999999999E-2</v>
      </c>
      <c r="AM56" s="8"/>
      <c r="AN56" s="38">
        <f t="shared" si="34"/>
        <v>-0.12529060310475426</v>
      </c>
      <c r="AO56" s="12">
        <f t="shared" si="48"/>
        <v>3.0071629519460939E-3</v>
      </c>
      <c r="AP56" s="12">
        <f t="shared" si="57"/>
        <v>-0.13048827664490231</v>
      </c>
      <c r="AQ56" s="12">
        <f t="shared" si="58"/>
        <v>2.5991858987824204E-3</v>
      </c>
      <c r="AR56" s="12">
        <f t="shared" si="59"/>
        <v>-0.14081379440817055</v>
      </c>
      <c r="AS56" s="12">
        <f t="shared" si="60"/>
        <v>4.372822422020594E-3</v>
      </c>
      <c r="AT56" s="12">
        <f t="shared" si="61"/>
        <v>-0.12450128829271614</v>
      </c>
      <c r="AU56" s="12">
        <f t="shared" si="62"/>
        <v>3.0049123931078256E-3</v>
      </c>
      <c r="AV56" s="12">
        <f t="shared" si="63"/>
        <v>-1.8168989898750931E-2</v>
      </c>
      <c r="AW56" s="42">
        <f t="shared" si="64"/>
        <v>2.7623158464261874E-2</v>
      </c>
      <c r="AX56" s="8"/>
      <c r="AY56" s="38"/>
      <c r="AZ56" s="12">
        <f t="shared" si="43"/>
        <v>0.83674375811783774</v>
      </c>
      <c r="BA56" s="12">
        <f t="shared" si="44"/>
        <v>1.0618426047457625</v>
      </c>
      <c r="BB56" s="12">
        <f t="shared" si="45"/>
        <v>-6.747933533208364E-2</v>
      </c>
      <c r="BC56" s="42">
        <f t="shared" si="46"/>
        <v>3.3898305084745735E-2</v>
      </c>
    </row>
    <row r="57" spans="1:55">
      <c r="A57" s="22">
        <v>48</v>
      </c>
      <c r="B57" s="23" t="s">
        <v>192</v>
      </c>
      <c r="C57" s="24">
        <v>97.492429999999999</v>
      </c>
      <c r="D57" s="24">
        <v>2.3024653136169464</v>
      </c>
      <c r="E57" s="3">
        <v>3</v>
      </c>
      <c r="F57" s="3">
        <v>-203.74384308141239</v>
      </c>
      <c r="G57" s="3">
        <v>2.1698706596136019</v>
      </c>
      <c r="H57" s="3">
        <v>92</v>
      </c>
      <c r="I57" s="3">
        <f t="shared" si="10"/>
        <v>1.3416407864998738</v>
      </c>
      <c r="J57" s="3">
        <v>-115</v>
      </c>
      <c r="K57" s="3">
        <f t="shared" si="11"/>
        <v>0.89442719099991586</v>
      </c>
      <c r="L57" s="3">
        <f t="shared" si="47"/>
        <v>0.95161290322580649</v>
      </c>
      <c r="M57" s="3">
        <f t="shared" si="12"/>
        <v>0.4</v>
      </c>
      <c r="N57" s="3">
        <v>-108.3</v>
      </c>
      <c r="O57" s="34">
        <v>24.9</v>
      </c>
      <c r="Q57" s="47">
        <f t="shared" si="13"/>
        <v>-126.11489544095797</v>
      </c>
      <c r="R57" s="48">
        <f t="shared" si="14"/>
        <v>2.6060580461963707</v>
      </c>
      <c r="S57" s="48">
        <f t="shared" si="49"/>
        <v>-130.4882766449023</v>
      </c>
      <c r="T57" s="48">
        <f t="shared" si="50"/>
        <v>2.5991858987824203</v>
      </c>
      <c r="U57" s="48">
        <f t="shared" si="51"/>
        <v>-140.81379440817054</v>
      </c>
      <c r="V57" s="48">
        <f t="shared" si="52"/>
        <v>4.3728224220205938</v>
      </c>
      <c r="W57" s="44">
        <f t="shared" si="53"/>
        <v>-125.36749379855733</v>
      </c>
      <c r="X57" s="45">
        <f t="shared" si="54"/>
        <v>2.5581574865080334</v>
      </c>
      <c r="Y57" s="46">
        <f t="shared" si="55"/>
        <v>-19.140399011503217</v>
      </c>
      <c r="Z57" s="45">
        <f t="shared" si="56"/>
        <v>27.539544631943802</v>
      </c>
      <c r="AA57" s="8"/>
      <c r="AB57" s="38">
        <f t="shared" si="23"/>
        <v>9.7492430000000005E-2</v>
      </c>
      <c r="AC57" s="12">
        <f t="shared" si="24"/>
        <v>2.3024653136169463E-3</v>
      </c>
      <c r="AD57" s="12">
        <f t="shared" si="25"/>
        <v>2.5980538928453978E-3</v>
      </c>
      <c r="AE57" s="12">
        <f t="shared" si="26"/>
        <v>-0.20374384308141238</v>
      </c>
      <c r="AF57" s="12">
        <f t="shared" si="27"/>
        <v>2.169870659613602E-3</v>
      </c>
      <c r="AG57" s="12">
        <f t="shared" si="28"/>
        <v>9.1999999999999998E-2</v>
      </c>
      <c r="AH57" s="12">
        <f t="shared" si="29"/>
        <v>1.3416407864998738E-3</v>
      </c>
      <c r="AI57" s="12">
        <f t="shared" si="30"/>
        <v>-0.115</v>
      </c>
      <c r="AJ57" s="12">
        <f t="shared" si="31"/>
        <v>8.9442719099991591E-4</v>
      </c>
      <c r="AK57" s="12">
        <f t="shared" si="32"/>
        <v>-0.10829999999999999</v>
      </c>
      <c r="AL57" s="42">
        <f t="shared" si="33"/>
        <v>2.4899999999999999E-2</v>
      </c>
      <c r="AM57" s="8"/>
      <c r="AN57" s="38">
        <f t="shared" si="34"/>
        <v>-0.12611489544095797</v>
      </c>
      <c r="AO57" s="12">
        <f t="shared" si="48"/>
        <v>2.6060580461963706E-3</v>
      </c>
      <c r="AP57" s="12">
        <f t="shared" si="57"/>
        <v>-0.13048827664490231</v>
      </c>
      <c r="AQ57" s="12">
        <f t="shared" si="58"/>
        <v>2.5991858987824204E-3</v>
      </c>
      <c r="AR57" s="12">
        <f t="shared" si="59"/>
        <v>-0.14081379440817055</v>
      </c>
      <c r="AS57" s="12">
        <f t="shared" si="60"/>
        <v>4.372822422020594E-3</v>
      </c>
      <c r="AT57" s="12">
        <f t="shared" si="61"/>
        <v>-0.12536749379855733</v>
      </c>
      <c r="AU57" s="12">
        <f t="shared" si="62"/>
        <v>2.5581574865080337E-3</v>
      </c>
      <c r="AV57" s="12">
        <f t="shared" si="63"/>
        <v>-1.9140399011503217E-2</v>
      </c>
      <c r="AW57" s="42">
        <f t="shared" si="64"/>
        <v>2.7539544631943802E-2</v>
      </c>
      <c r="AX57" s="8"/>
      <c r="AY57" s="38"/>
      <c r="AZ57" s="12">
        <f t="shared" si="43"/>
        <v>0.83674375811783774</v>
      </c>
      <c r="BA57" s="12">
        <f t="shared" si="44"/>
        <v>1.0607547569491524</v>
      </c>
      <c r="BB57" s="12">
        <f t="shared" si="45"/>
        <v>-6.747933533208364E-2</v>
      </c>
      <c r="BC57" s="42">
        <f t="shared" si="46"/>
        <v>3.3898305084745735E-2</v>
      </c>
    </row>
    <row r="58" spans="1:55">
      <c r="A58" s="22">
        <v>49</v>
      </c>
      <c r="B58" s="23" t="s">
        <v>192</v>
      </c>
      <c r="C58" s="24">
        <v>81.530659999999997</v>
      </c>
      <c r="D58" s="24">
        <v>2.3024653136169464</v>
      </c>
      <c r="E58" s="3">
        <v>2</v>
      </c>
      <c r="F58" s="3">
        <v>-203.74384308141239</v>
      </c>
      <c r="G58" s="3">
        <v>2.1698706596136019</v>
      </c>
      <c r="H58" s="3">
        <v>92</v>
      </c>
      <c r="I58" s="3">
        <f t="shared" si="10"/>
        <v>1.3416407864998738</v>
      </c>
      <c r="J58" s="3">
        <v>-115</v>
      </c>
      <c r="K58" s="3">
        <f t="shared" si="11"/>
        <v>0.89442719099991586</v>
      </c>
      <c r="L58" s="3">
        <f t="shared" si="47"/>
        <v>0.95161290322580649</v>
      </c>
      <c r="M58" s="3">
        <f t="shared" si="12"/>
        <v>0.4</v>
      </c>
      <c r="N58" s="3">
        <v>-108.3</v>
      </c>
      <c r="O58" s="34">
        <v>24.9</v>
      </c>
      <c r="Q58" s="47">
        <f t="shared" si="13"/>
        <v>-138.8245530787764</v>
      </c>
      <c r="R58" s="48">
        <f t="shared" si="14"/>
        <v>2.6810397625882927</v>
      </c>
      <c r="S58" s="48">
        <f t="shared" si="49"/>
        <v>-130.4882766449023</v>
      </c>
      <c r="T58" s="48">
        <f t="shared" si="50"/>
        <v>2.5991858987824203</v>
      </c>
      <c r="U58" s="48">
        <f t="shared" si="51"/>
        <v>-140.81379440817054</v>
      </c>
      <c r="V58" s="48">
        <f t="shared" si="52"/>
        <v>4.3728224220205938</v>
      </c>
      <c r="W58" s="44">
        <f t="shared" si="53"/>
        <v>-138.72340521456988</v>
      </c>
      <c r="X58" s="45">
        <f t="shared" si="54"/>
        <v>2.6451016772531659</v>
      </c>
      <c r="Y58" s="46">
        <f t="shared" si="55"/>
        <v>-34.118431327318511</v>
      </c>
      <c r="Z58" s="45">
        <f t="shared" si="56"/>
        <v>27.134091964447542</v>
      </c>
      <c r="AA58" s="8"/>
      <c r="AB58" s="38">
        <f t="shared" si="23"/>
        <v>8.1530659999999991E-2</v>
      </c>
      <c r="AC58" s="12">
        <f t="shared" si="24"/>
        <v>2.3024653136169463E-3</v>
      </c>
      <c r="AD58" s="12">
        <f t="shared" si="25"/>
        <v>2.8857123282346854E-3</v>
      </c>
      <c r="AE58" s="12">
        <f t="shared" si="26"/>
        <v>-0.20374384308141238</v>
      </c>
      <c r="AF58" s="12">
        <f t="shared" si="27"/>
        <v>2.169870659613602E-3</v>
      </c>
      <c r="AG58" s="12">
        <f t="shared" si="28"/>
        <v>9.1999999999999998E-2</v>
      </c>
      <c r="AH58" s="12">
        <f t="shared" si="29"/>
        <v>1.3416407864998738E-3</v>
      </c>
      <c r="AI58" s="12">
        <f t="shared" si="30"/>
        <v>-0.115</v>
      </c>
      <c r="AJ58" s="12">
        <f t="shared" si="31"/>
        <v>8.9442719099991591E-4</v>
      </c>
      <c r="AK58" s="12">
        <f t="shared" si="32"/>
        <v>-0.10829999999999999</v>
      </c>
      <c r="AL58" s="42">
        <f t="shared" si="33"/>
        <v>2.4899999999999999E-2</v>
      </c>
      <c r="AM58" s="8"/>
      <c r="AN58" s="38">
        <f t="shared" si="34"/>
        <v>-0.13882455307877639</v>
      </c>
      <c r="AO58" s="12">
        <f t="shared" si="48"/>
        <v>2.6810397625882925E-3</v>
      </c>
      <c r="AP58" s="12">
        <f t="shared" si="57"/>
        <v>-0.13048827664490231</v>
      </c>
      <c r="AQ58" s="12">
        <f t="shared" si="58"/>
        <v>2.5991858987824204E-3</v>
      </c>
      <c r="AR58" s="12">
        <f t="shared" si="59"/>
        <v>-0.14081379440817055</v>
      </c>
      <c r="AS58" s="12">
        <f t="shared" si="60"/>
        <v>4.372822422020594E-3</v>
      </c>
      <c r="AT58" s="12">
        <f t="shared" si="61"/>
        <v>-0.13872340521456988</v>
      </c>
      <c r="AU58" s="12">
        <f t="shared" si="62"/>
        <v>2.6451016772531658E-3</v>
      </c>
      <c r="AV58" s="12">
        <f t="shared" si="63"/>
        <v>-3.411843132731851E-2</v>
      </c>
      <c r="AW58" s="42">
        <f t="shared" si="64"/>
        <v>2.7134091964447542E-2</v>
      </c>
      <c r="AX58" s="8"/>
      <c r="AY58" s="38"/>
      <c r="AZ58" s="12">
        <f t="shared" si="43"/>
        <v>0.83674375811783774</v>
      </c>
      <c r="BA58" s="12">
        <f t="shared" si="44"/>
        <v>1.0439813715254236</v>
      </c>
      <c r="BB58" s="12">
        <f t="shared" si="45"/>
        <v>-6.747933533208364E-2</v>
      </c>
      <c r="BC58" s="42">
        <f t="shared" si="46"/>
        <v>3.3898305084745735E-2</v>
      </c>
    </row>
    <row r="59" spans="1:55">
      <c r="A59" s="22">
        <v>50</v>
      </c>
      <c r="B59" s="23" t="s">
        <v>192</v>
      </c>
      <c r="C59" s="24">
        <v>82.894030000000001</v>
      </c>
      <c r="D59" s="24">
        <v>2.3024653136169464</v>
      </c>
      <c r="E59" s="3">
        <v>2</v>
      </c>
      <c r="F59" s="3">
        <v>-203.74384308141239</v>
      </c>
      <c r="G59" s="3">
        <v>2.1698706596136019</v>
      </c>
      <c r="H59" s="3">
        <v>92</v>
      </c>
      <c r="I59" s="3">
        <f t="shared" si="10"/>
        <v>1.3416407864998738</v>
      </c>
      <c r="J59" s="3">
        <v>-115</v>
      </c>
      <c r="K59" s="3">
        <f t="shared" si="11"/>
        <v>0.89442719099991586</v>
      </c>
      <c r="L59" s="3">
        <f t="shared" si="47"/>
        <v>0.95161290322580649</v>
      </c>
      <c r="M59" s="3">
        <f t="shared" si="12"/>
        <v>0.4</v>
      </c>
      <c r="N59" s="3">
        <v>-108.3</v>
      </c>
      <c r="O59" s="34">
        <v>24.9</v>
      </c>
      <c r="Q59" s="47">
        <f t="shared" si="13"/>
        <v>-137.73896132211826</v>
      </c>
      <c r="R59" s="48">
        <f t="shared" si="14"/>
        <v>2.6836296503480699</v>
      </c>
      <c r="S59" s="48">
        <f t="shared" si="49"/>
        <v>-130.4882766449023</v>
      </c>
      <c r="T59" s="48">
        <f t="shared" si="50"/>
        <v>2.5991858987824203</v>
      </c>
      <c r="U59" s="48">
        <f t="shared" si="51"/>
        <v>-140.81379440817054</v>
      </c>
      <c r="V59" s="48">
        <f t="shared" si="52"/>
        <v>4.3728224220205938</v>
      </c>
      <c r="W59" s="44">
        <f t="shared" si="53"/>
        <v>-137.58261387706474</v>
      </c>
      <c r="X59" s="45">
        <f t="shared" si="54"/>
        <v>2.6477645525584892</v>
      </c>
      <c r="Y59" s="46">
        <f t="shared" si="55"/>
        <v>-32.839086999063348</v>
      </c>
      <c r="Z59" s="45">
        <f t="shared" si="56"/>
        <v>27.169928981770795</v>
      </c>
      <c r="AA59" s="8"/>
      <c r="AB59" s="38">
        <f t="shared" si="23"/>
        <v>8.2894030000000007E-2</v>
      </c>
      <c r="AC59" s="12">
        <f t="shared" si="24"/>
        <v>2.3024653136169463E-3</v>
      </c>
      <c r="AD59" s="12">
        <f t="shared" si="25"/>
        <v>2.8857123282346854E-3</v>
      </c>
      <c r="AE59" s="12">
        <f t="shared" si="26"/>
        <v>-0.20374384308141238</v>
      </c>
      <c r="AF59" s="12">
        <f t="shared" si="27"/>
        <v>2.169870659613602E-3</v>
      </c>
      <c r="AG59" s="12">
        <f t="shared" si="28"/>
        <v>9.1999999999999998E-2</v>
      </c>
      <c r="AH59" s="12">
        <f t="shared" si="29"/>
        <v>1.3416407864998738E-3</v>
      </c>
      <c r="AI59" s="12">
        <f t="shared" si="30"/>
        <v>-0.115</v>
      </c>
      <c r="AJ59" s="12">
        <f t="shared" si="31"/>
        <v>8.9442719099991591E-4</v>
      </c>
      <c r="AK59" s="12">
        <f t="shared" si="32"/>
        <v>-0.10829999999999999</v>
      </c>
      <c r="AL59" s="42">
        <f t="shared" si="33"/>
        <v>2.4899999999999999E-2</v>
      </c>
      <c r="AM59" s="8"/>
      <c r="AN59" s="38">
        <f t="shared" si="34"/>
        <v>-0.13773896132211827</v>
      </c>
      <c r="AO59" s="12">
        <f t="shared" si="48"/>
        <v>2.68362965034807E-3</v>
      </c>
      <c r="AP59" s="12">
        <f t="shared" si="57"/>
        <v>-0.13048827664490231</v>
      </c>
      <c r="AQ59" s="12">
        <f t="shared" si="58"/>
        <v>2.5991858987824204E-3</v>
      </c>
      <c r="AR59" s="12">
        <f t="shared" si="59"/>
        <v>-0.14081379440817055</v>
      </c>
      <c r="AS59" s="12">
        <f t="shared" si="60"/>
        <v>4.372822422020594E-3</v>
      </c>
      <c r="AT59" s="12">
        <f t="shared" si="61"/>
        <v>-0.13758261387706475</v>
      </c>
      <c r="AU59" s="12">
        <f t="shared" si="62"/>
        <v>2.6477645525584893E-3</v>
      </c>
      <c r="AV59" s="12">
        <f t="shared" si="63"/>
        <v>-3.2839086999063349E-2</v>
      </c>
      <c r="AW59" s="42">
        <f t="shared" si="64"/>
        <v>2.7169928981770796E-2</v>
      </c>
      <c r="AX59" s="8"/>
      <c r="AY59" s="38"/>
      <c r="AZ59" s="12">
        <f t="shared" si="43"/>
        <v>0.83674375811783774</v>
      </c>
      <c r="BA59" s="12">
        <f t="shared" si="44"/>
        <v>1.0454140654237287</v>
      </c>
      <c r="BB59" s="12">
        <f t="shared" si="45"/>
        <v>-6.747933533208364E-2</v>
      </c>
      <c r="BC59" s="42">
        <f t="shared" si="46"/>
        <v>3.3898305084745735E-2</v>
      </c>
    </row>
    <row r="60" spans="1:55">
      <c r="A60" s="21"/>
      <c r="D60" s="8"/>
      <c r="AA60" s="8"/>
      <c r="AB60" s="38"/>
      <c r="AC60" s="12"/>
      <c r="AD60" s="12"/>
      <c r="AE60" s="12"/>
      <c r="AF60" s="12"/>
      <c r="AG60" s="12"/>
      <c r="AH60" s="12"/>
      <c r="AI60" s="12"/>
      <c r="AJ60" s="12"/>
      <c r="AK60" s="12"/>
      <c r="AL60" s="42"/>
      <c r="AM60" s="8"/>
      <c r="AN60" s="38"/>
      <c r="AO60" s="12"/>
      <c r="AP60" s="12"/>
      <c r="AQ60" s="12"/>
      <c r="AR60" s="12"/>
      <c r="AS60" s="12"/>
      <c r="AT60" s="12"/>
      <c r="AU60" s="12"/>
      <c r="AV60" s="12"/>
      <c r="AW60" s="42"/>
      <c r="AX60" s="8"/>
      <c r="AY60" s="38"/>
      <c r="AZ60" s="12"/>
      <c r="BA60" s="12"/>
      <c r="BB60" s="12"/>
      <c r="BC60" s="42"/>
    </row>
    <row r="61" spans="1:55">
      <c r="A61" s="20"/>
      <c r="B61" s="8"/>
      <c r="D61" s="156"/>
      <c r="AA61" s="8"/>
      <c r="AB61" s="38"/>
      <c r="AC61" s="12"/>
      <c r="AD61" s="12"/>
      <c r="AE61" s="12"/>
      <c r="AF61" s="12"/>
      <c r="AG61" s="12"/>
      <c r="AH61" s="12"/>
      <c r="AI61" s="12"/>
      <c r="AJ61" s="12"/>
      <c r="AK61" s="12"/>
      <c r="AL61" s="42"/>
      <c r="AM61" s="8"/>
      <c r="AN61" s="38"/>
      <c r="AO61" s="12"/>
      <c r="AP61" s="12"/>
      <c r="AQ61" s="12"/>
      <c r="AR61" s="12"/>
      <c r="AS61" s="12"/>
      <c r="AT61" s="12"/>
      <c r="AU61" s="12"/>
      <c r="AV61" s="12"/>
      <c r="AW61" s="42"/>
      <c r="AX61" s="8"/>
      <c r="AY61" s="38"/>
      <c r="AZ61" s="12"/>
      <c r="BA61" s="12"/>
      <c r="BB61" s="12"/>
      <c r="BC61" s="42"/>
    </row>
    <row r="62" spans="1:55">
      <c r="A62" s="20"/>
      <c r="B62" s="8"/>
      <c r="D62" s="8"/>
      <c r="Q62" s="152"/>
      <c r="S62" s="153"/>
      <c r="U62" s="153"/>
      <c r="W62" s="154"/>
      <c r="Y62" s="155"/>
      <c r="AA62" s="8"/>
      <c r="AB62" s="38"/>
      <c r="AC62" s="12"/>
      <c r="AD62" s="12"/>
      <c r="AE62" s="12"/>
      <c r="AF62" s="12"/>
      <c r="AG62" s="12"/>
      <c r="AH62" s="12"/>
      <c r="AI62" s="12"/>
      <c r="AJ62" s="12"/>
      <c r="AK62" s="12"/>
      <c r="AL62" s="42"/>
      <c r="AM62" s="8"/>
      <c r="AN62" s="38"/>
      <c r="AO62" s="12"/>
      <c r="AP62" s="12"/>
      <c r="AQ62" s="12"/>
      <c r="AR62" s="12"/>
      <c r="AS62" s="12"/>
      <c r="AT62" s="12"/>
      <c r="AU62" s="12"/>
      <c r="AV62" s="12"/>
      <c r="AW62" s="42"/>
      <c r="AX62" s="8"/>
      <c r="AY62" s="38"/>
      <c r="AZ62" s="12"/>
      <c r="BA62" s="12"/>
      <c r="BB62" s="12"/>
      <c r="BC62" s="42"/>
    </row>
    <row r="63" spans="1:55">
      <c r="A63" s="20"/>
      <c r="B63" s="8"/>
      <c r="D63" s="8"/>
      <c r="Q63" s="152"/>
      <c r="S63" s="153"/>
      <c r="U63" s="153"/>
      <c r="W63" s="154"/>
      <c r="Y63" s="155"/>
      <c r="AA63" s="8"/>
      <c r="AB63" s="38"/>
      <c r="AC63" s="12"/>
      <c r="AD63" s="12"/>
      <c r="AE63" s="12"/>
      <c r="AF63" s="12"/>
      <c r="AG63" s="12"/>
      <c r="AH63" s="12"/>
      <c r="AI63" s="12"/>
      <c r="AJ63" s="12"/>
      <c r="AK63" s="12"/>
      <c r="AL63" s="42"/>
      <c r="AM63" s="8"/>
      <c r="AN63" s="38"/>
      <c r="AO63" s="12"/>
      <c r="AP63" s="12"/>
      <c r="AQ63" s="12"/>
      <c r="AR63" s="12"/>
      <c r="AS63" s="12"/>
      <c r="AT63" s="12"/>
      <c r="AU63" s="12"/>
      <c r="AV63" s="12"/>
      <c r="AW63" s="42"/>
      <c r="AX63" s="8"/>
      <c r="AY63" s="38"/>
      <c r="AZ63" s="12"/>
      <c r="BA63" s="12"/>
      <c r="BB63" s="12"/>
      <c r="BC63" s="42"/>
    </row>
    <row r="64" spans="1:55">
      <c r="A64" s="20"/>
      <c r="B64" s="8"/>
      <c r="D64" s="8"/>
      <c r="Q64" s="152"/>
      <c r="S64" s="153"/>
      <c r="U64" s="153"/>
      <c r="W64" s="154"/>
      <c r="Y64" s="155"/>
      <c r="AA64" s="8"/>
      <c r="AB64" s="38"/>
      <c r="AC64" s="12"/>
      <c r="AD64" s="12"/>
      <c r="AE64" s="12"/>
      <c r="AF64" s="12"/>
      <c r="AG64" s="12"/>
      <c r="AH64" s="12"/>
      <c r="AI64" s="12"/>
      <c r="AJ64" s="12"/>
      <c r="AK64" s="12"/>
      <c r="AL64" s="42"/>
      <c r="AM64" s="8"/>
      <c r="AN64" s="38"/>
      <c r="AO64" s="12"/>
      <c r="AP64" s="12"/>
      <c r="AQ64" s="12"/>
      <c r="AR64" s="12"/>
      <c r="AS64" s="12"/>
      <c r="AT64" s="12"/>
      <c r="AU64" s="12"/>
      <c r="AV64" s="12"/>
      <c r="AW64" s="42"/>
      <c r="AX64" s="8"/>
      <c r="AY64" s="38"/>
      <c r="AZ64" s="12"/>
      <c r="BA64" s="12"/>
      <c r="BB64" s="12"/>
      <c r="BC64" s="42"/>
    </row>
    <row r="65" spans="1:55">
      <c r="A65" s="20"/>
      <c r="B65" s="8"/>
      <c r="C65" s="157"/>
      <c r="D65" s="158"/>
      <c r="E65" s="157"/>
      <c r="AA65" s="8"/>
      <c r="AB65" s="38"/>
      <c r="AC65" s="12"/>
      <c r="AD65" s="12"/>
      <c r="AE65" s="12"/>
      <c r="AF65" s="12"/>
      <c r="AG65" s="12"/>
      <c r="AH65" s="12"/>
      <c r="AI65" s="12"/>
      <c r="AJ65" s="12"/>
      <c r="AK65" s="12"/>
      <c r="AL65" s="42"/>
      <c r="AM65" s="8"/>
      <c r="AN65" s="38"/>
      <c r="AO65" s="12"/>
      <c r="AP65" s="12"/>
      <c r="AQ65" s="12"/>
      <c r="AR65" s="12"/>
      <c r="AS65" s="12"/>
      <c r="AT65" s="12"/>
      <c r="AU65" s="12"/>
      <c r="AV65" s="12"/>
      <c r="AW65" s="42"/>
      <c r="AX65" s="8"/>
      <c r="AY65" s="38"/>
      <c r="AZ65" s="12"/>
      <c r="BA65" s="12"/>
      <c r="BB65" s="12"/>
      <c r="BC65" s="42"/>
    </row>
    <row r="66" spans="1:55">
      <c r="A66" s="20"/>
      <c r="B66" s="8"/>
      <c r="C66" s="157"/>
      <c r="D66" s="158"/>
      <c r="E66" s="157"/>
      <c r="AA66" s="8"/>
      <c r="AB66" s="38"/>
      <c r="AC66" s="12"/>
      <c r="AD66" s="12"/>
      <c r="AE66" s="12"/>
      <c r="AF66" s="12"/>
      <c r="AG66" s="12"/>
      <c r="AH66" s="12"/>
      <c r="AI66" s="12"/>
      <c r="AJ66" s="12"/>
      <c r="AK66" s="12"/>
      <c r="AL66" s="42"/>
      <c r="AM66" s="8"/>
      <c r="AN66" s="38"/>
      <c r="AO66" s="12"/>
      <c r="AP66" s="12"/>
      <c r="AQ66" s="12"/>
      <c r="AR66" s="12"/>
      <c r="AS66" s="12"/>
      <c r="AT66" s="12"/>
      <c r="AU66" s="12"/>
      <c r="AV66" s="12"/>
      <c r="AW66" s="42"/>
      <c r="AX66" s="8"/>
      <c r="AY66" s="38"/>
      <c r="AZ66" s="12"/>
      <c r="BA66" s="12"/>
      <c r="BB66" s="12"/>
      <c r="BC66" s="42"/>
    </row>
    <row r="67" spans="1:55">
      <c r="A67" s="20"/>
      <c r="B67" s="8"/>
      <c r="C67" s="157"/>
      <c r="D67" s="158"/>
      <c r="E67" s="157"/>
      <c r="F67" s="159"/>
      <c r="G67" s="159"/>
      <c r="H67" s="157"/>
      <c r="AA67" s="8"/>
      <c r="AB67" s="38"/>
      <c r="AC67" s="12"/>
      <c r="AD67" s="12"/>
      <c r="AE67" s="12"/>
      <c r="AF67" s="12"/>
      <c r="AG67" s="12"/>
      <c r="AH67" s="12"/>
      <c r="AI67" s="12"/>
      <c r="AJ67" s="12"/>
      <c r="AK67" s="12"/>
      <c r="AL67" s="42"/>
      <c r="AM67" s="8"/>
      <c r="AN67" s="38"/>
      <c r="AO67" s="12"/>
      <c r="AP67" s="12"/>
      <c r="AQ67" s="12"/>
      <c r="AR67" s="12"/>
      <c r="AS67" s="12"/>
      <c r="AT67" s="12"/>
      <c r="AU67" s="12"/>
      <c r="AV67" s="12"/>
      <c r="AW67" s="42"/>
      <c r="AX67" s="8"/>
      <c r="AY67" s="38"/>
      <c r="AZ67" s="12"/>
      <c r="BA67" s="12"/>
      <c r="BB67" s="12"/>
      <c r="BC67" s="42"/>
    </row>
    <row r="68" spans="1:55">
      <c r="A68" s="20"/>
      <c r="B68" s="8"/>
      <c r="C68" s="157"/>
      <c r="D68" s="158"/>
      <c r="E68" s="157"/>
      <c r="F68" s="159"/>
      <c r="G68" s="159"/>
      <c r="H68" s="157"/>
      <c r="AA68" s="8"/>
      <c r="AB68" s="38"/>
      <c r="AC68" s="12"/>
      <c r="AD68" s="12"/>
      <c r="AE68" s="12"/>
      <c r="AF68" s="12"/>
      <c r="AG68" s="12"/>
      <c r="AH68" s="12"/>
      <c r="AI68" s="12"/>
      <c r="AJ68" s="12"/>
      <c r="AK68" s="12"/>
      <c r="AL68" s="42"/>
      <c r="AM68" s="8"/>
      <c r="AN68" s="38"/>
      <c r="AO68" s="12"/>
      <c r="AP68" s="12"/>
      <c r="AQ68" s="12"/>
      <c r="AR68" s="12"/>
      <c r="AS68" s="12"/>
      <c r="AT68" s="12"/>
      <c r="AU68" s="12"/>
      <c r="AV68" s="12"/>
      <c r="AW68" s="42"/>
      <c r="AX68" s="8"/>
      <c r="AY68" s="38"/>
      <c r="AZ68" s="12"/>
      <c r="BA68" s="12"/>
      <c r="BB68" s="12"/>
      <c r="BC68" s="42"/>
    </row>
    <row r="69" spans="1:55">
      <c r="A69" s="20"/>
      <c r="B69" s="8"/>
      <c r="C69" s="157"/>
      <c r="D69" s="158"/>
      <c r="E69" s="157"/>
      <c r="F69" s="159"/>
      <c r="G69" s="159"/>
      <c r="H69" s="157"/>
      <c r="AA69" s="8"/>
      <c r="AB69" s="38"/>
      <c r="AC69" s="12"/>
      <c r="AD69" s="12"/>
      <c r="AE69" s="12"/>
      <c r="AF69" s="12"/>
      <c r="AG69" s="12"/>
      <c r="AH69" s="12"/>
      <c r="AI69" s="12"/>
      <c r="AJ69" s="12"/>
      <c r="AK69" s="12"/>
      <c r="AL69" s="42"/>
      <c r="AM69" s="8"/>
      <c r="AN69" s="38"/>
      <c r="AO69" s="12"/>
      <c r="AP69" s="12"/>
      <c r="AQ69" s="12"/>
      <c r="AR69" s="12"/>
      <c r="AS69" s="12"/>
      <c r="AT69" s="12"/>
      <c r="AU69" s="12"/>
      <c r="AV69" s="12"/>
      <c r="AW69" s="42"/>
      <c r="AX69" s="8"/>
      <c r="AY69" s="38"/>
      <c r="AZ69" s="12"/>
      <c r="BA69" s="12"/>
      <c r="BB69" s="12"/>
      <c r="BC69" s="42"/>
    </row>
    <row r="70" spans="1:55">
      <c r="A70" s="20"/>
      <c r="B70" s="8"/>
      <c r="C70" s="157"/>
      <c r="D70" s="158"/>
      <c r="E70" s="157"/>
      <c r="F70" s="159"/>
      <c r="G70" s="159"/>
      <c r="H70" s="157"/>
      <c r="AA70" s="8"/>
      <c r="AB70" s="38"/>
      <c r="AC70" s="12"/>
      <c r="AD70" s="12"/>
      <c r="AE70" s="12"/>
      <c r="AF70" s="12"/>
      <c r="AG70" s="12"/>
      <c r="AH70" s="12"/>
      <c r="AI70" s="12"/>
      <c r="AJ70" s="12"/>
      <c r="AK70" s="12"/>
      <c r="AL70" s="42"/>
      <c r="AM70" s="8"/>
      <c r="AN70" s="38"/>
      <c r="AO70" s="12"/>
      <c r="AP70" s="12"/>
      <c r="AQ70" s="12"/>
      <c r="AR70" s="12"/>
      <c r="AS70" s="12"/>
      <c r="AT70" s="12"/>
      <c r="AU70" s="12"/>
      <c r="AV70" s="12"/>
      <c r="AW70" s="42"/>
      <c r="AX70" s="8"/>
      <c r="AY70" s="38"/>
      <c r="AZ70" s="12"/>
      <c r="BA70" s="12"/>
      <c r="BB70" s="12"/>
      <c r="BC70" s="42"/>
    </row>
    <row r="71" spans="1:55">
      <c r="A71" s="20"/>
      <c r="B71" s="8"/>
      <c r="C71" s="157"/>
      <c r="D71" s="158"/>
      <c r="E71" s="157"/>
      <c r="F71" s="159"/>
      <c r="G71" s="159"/>
      <c r="H71" s="157"/>
      <c r="AA71" s="8"/>
      <c r="AB71" s="38"/>
      <c r="AC71" s="12"/>
      <c r="AD71" s="12"/>
      <c r="AE71" s="12"/>
      <c r="AF71" s="12"/>
      <c r="AG71" s="12"/>
      <c r="AH71" s="12"/>
      <c r="AI71" s="12"/>
      <c r="AJ71" s="12"/>
      <c r="AK71" s="12"/>
      <c r="AL71" s="42"/>
      <c r="AM71" s="8"/>
      <c r="AN71" s="38"/>
      <c r="AO71" s="12"/>
      <c r="AP71" s="12"/>
      <c r="AQ71" s="12"/>
      <c r="AR71" s="12"/>
      <c r="AS71" s="12"/>
      <c r="AT71" s="12"/>
      <c r="AU71" s="12"/>
      <c r="AV71" s="12"/>
      <c r="AW71" s="42"/>
      <c r="AX71" s="8"/>
      <c r="AY71" s="38"/>
      <c r="AZ71" s="12"/>
      <c r="BA71" s="12"/>
      <c r="BB71" s="12"/>
      <c r="BC71" s="42"/>
    </row>
    <row r="72" spans="1:55">
      <c r="A72" s="20"/>
      <c r="B72" s="8"/>
      <c r="D72" s="8"/>
      <c r="F72" s="159"/>
      <c r="G72" s="159"/>
      <c r="H72" s="157"/>
      <c r="AA72" s="8"/>
      <c r="AB72" s="38"/>
      <c r="AC72" s="12"/>
      <c r="AD72" s="12"/>
      <c r="AE72" s="12"/>
      <c r="AF72" s="12"/>
      <c r="AG72" s="12"/>
      <c r="AH72" s="12"/>
      <c r="AI72" s="12"/>
      <c r="AJ72" s="12"/>
      <c r="AK72" s="12"/>
      <c r="AL72" s="42"/>
      <c r="AM72" s="8"/>
      <c r="AN72" s="38"/>
      <c r="AO72" s="12"/>
      <c r="AP72" s="12"/>
      <c r="AQ72" s="12"/>
      <c r="AR72" s="12"/>
      <c r="AS72" s="12"/>
      <c r="AT72" s="12"/>
      <c r="AU72" s="12"/>
      <c r="AV72" s="12"/>
      <c r="AW72" s="42"/>
      <c r="AX72" s="8"/>
      <c r="AY72" s="38"/>
      <c r="AZ72" s="12"/>
      <c r="BA72" s="12"/>
      <c r="BB72" s="12"/>
      <c r="BC72" s="42"/>
    </row>
    <row r="73" spans="1:55">
      <c r="A73" s="20"/>
      <c r="B73" s="8"/>
      <c r="D73" s="8"/>
      <c r="AA73" s="8"/>
      <c r="AB73" s="38"/>
      <c r="AC73" s="12"/>
      <c r="AD73" s="12"/>
      <c r="AE73" s="12"/>
      <c r="AF73" s="12"/>
      <c r="AG73" s="12"/>
      <c r="AH73" s="12"/>
      <c r="AI73" s="12"/>
      <c r="AJ73" s="12"/>
      <c r="AK73" s="12"/>
      <c r="AL73" s="42"/>
      <c r="AM73" s="8"/>
      <c r="AN73" s="38"/>
      <c r="AO73" s="12"/>
      <c r="AP73" s="12"/>
      <c r="AQ73" s="12"/>
      <c r="AR73" s="12"/>
      <c r="AS73" s="12"/>
      <c r="AT73" s="12"/>
      <c r="AU73" s="12"/>
      <c r="AV73" s="12"/>
      <c r="AW73" s="42"/>
      <c r="AX73" s="8"/>
      <c r="AY73" s="38"/>
      <c r="AZ73" s="12"/>
      <c r="BA73" s="12"/>
      <c r="BB73" s="12"/>
      <c r="BC73" s="42"/>
    </row>
    <row r="74" spans="1:55">
      <c r="A74" s="20"/>
      <c r="B74" s="8"/>
      <c r="D74" s="8"/>
      <c r="AA74" s="8"/>
      <c r="AB74" s="38"/>
      <c r="AC74" s="12"/>
      <c r="AD74" s="12"/>
      <c r="AE74" s="12"/>
      <c r="AF74" s="12"/>
      <c r="AG74" s="12"/>
      <c r="AH74" s="12"/>
      <c r="AI74" s="12"/>
      <c r="AJ74" s="12"/>
      <c r="AK74" s="12"/>
      <c r="AL74" s="42"/>
      <c r="AM74" s="8"/>
      <c r="AN74" s="38"/>
      <c r="AO74" s="12"/>
      <c r="AP74" s="12"/>
      <c r="AQ74" s="12"/>
      <c r="AR74" s="12"/>
      <c r="AS74" s="12"/>
      <c r="AT74" s="12"/>
      <c r="AU74" s="12"/>
      <c r="AV74" s="12"/>
      <c r="AW74" s="42"/>
      <c r="AX74" s="8"/>
      <c r="AY74" s="38"/>
      <c r="AZ74" s="12"/>
      <c r="BA74" s="12"/>
      <c r="BB74" s="12"/>
      <c r="BC74" s="42"/>
    </row>
    <row r="75" spans="1:55">
      <c r="A75" s="20"/>
      <c r="B75" s="8"/>
      <c r="D75" s="8"/>
      <c r="AA75" s="8"/>
      <c r="AB75" s="38"/>
      <c r="AC75" s="12"/>
      <c r="AD75" s="12"/>
      <c r="AE75" s="12"/>
      <c r="AF75" s="12"/>
      <c r="AG75" s="12"/>
      <c r="AH75" s="12"/>
      <c r="AI75" s="12"/>
      <c r="AJ75" s="12"/>
      <c r="AK75" s="12"/>
      <c r="AL75" s="42"/>
      <c r="AM75" s="8"/>
      <c r="AN75" s="38"/>
      <c r="AO75" s="12"/>
      <c r="AP75" s="12"/>
      <c r="AQ75" s="12"/>
      <c r="AR75" s="12"/>
      <c r="AS75" s="12"/>
      <c r="AT75" s="12"/>
      <c r="AU75" s="12"/>
      <c r="AV75" s="12"/>
      <c r="AW75" s="42"/>
      <c r="AX75" s="8"/>
      <c r="AY75" s="38"/>
      <c r="AZ75" s="12"/>
      <c r="BA75" s="12"/>
      <c r="BB75" s="12"/>
      <c r="BC75" s="42"/>
    </row>
    <row r="76" spans="1:55">
      <c r="A76" s="20"/>
      <c r="B76" s="8"/>
      <c r="D76" s="8"/>
      <c r="AA76" s="8"/>
      <c r="AB76" s="38"/>
      <c r="AC76" s="12"/>
      <c r="AD76" s="12"/>
      <c r="AE76" s="12"/>
      <c r="AF76" s="12"/>
      <c r="AG76" s="12"/>
      <c r="AH76" s="12"/>
      <c r="AI76" s="12"/>
      <c r="AJ76" s="12"/>
      <c r="AK76" s="12"/>
      <c r="AL76" s="42"/>
      <c r="AM76" s="8"/>
      <c r="AN76" s="38"/>
      <c r="AO76" s="12"/>
      <c r="AP76" s="12"/>
      <c r="AQ76" s="12"/>
      <c r="AR76" s="12"/>
      <c r="AS76" s="12"/>
      <c r="AT76" s="12"/>
      <c r="AU76" s="12"/>
      <c r="AV76" s="12"/>
      <c r="AW76" s="42"/>
      <c r="AX76" s="8"/>
      <c r="AY76" s="38"/>
      <c r="AZ76" s="12"/>
      <c r="BA76" s="12"/>
      <c r="BB76" s="12"/>
      <c r="BC76" s="42"/>
    </row>
    <row r="77" spans="1:55">
      <c r="A77" s="20"/>
      <c r="B77" s="8"/>
      <c r="D77" s="8"/>
      <c r="AA77" s="8"/>
      <c r="AB77" s="38"/>
      <c r="AC77" s="12"/>
      <c r="AD77" s="12"/>
      <c r="AE77" s="12"/>
      <c r="AF77" s="12"/>
      <c r="AG77" s="12"/>
      <c r="AH77" s="12"/>
      <c r="AI77" s="12"/>
      <c r="AJ77" s="12"/>
      <c r="AK77" s="12"/>
      <c r="AL77" s="42"/>
      <c r="AM77" s="8"/>
      <c r="AN77" s="38"/>
      <c r="AO77" s="12"/>
      <c r="AP77" s="12"/>
      <c r="AQ77" s="12"/>
      <c r="AR77" s="12"/>
      <c r="AS77" s="12"/>
      <c r="AT77" s="12"/>
      <c r="AU77" s="12"/>
      <c r="AV77" s="12"/>
      <c r="AW77" s="42"/>
      <c r="AX77" s="8"/>
      <c r="AY77" s="38"/>
      <c r="AZ77" s="12"/>
      <c r="BA77" s="12"/>
      <c r="BB77" s="12"/>
      <c r="BC77" s="42"/>
    </row>
    <row r="78" spans="1:55">
      <c r="A78" s="20"/>
      <c r="B78" s="8"/>
      <c r="D78" s="8"/>
      <c r="AA78" s="8"/>
      <c r="AB78" s="38"/>
      <c r="AC78" s="12"/>
      <c r="AD78" s="12"/>
      <c r="AE78" s="12"/>
      <c r="AF78" s="12"/>
      <c r="AG78" s="12"/>
      <c r="AH78" s="12"/>
      <c r="AI78" s="12"/>
      <c r="AJ78" s="12"/>
      <c r="AK78" s="12"/>
      <c r="AL78" s="42"/>
      <c r="AM78" s="8"/>
      <c r="AN78" s="38"/>
      <c r="AO78" s="12"/>
      <c r="AP78" s="12"/>
      <c r="AQ78" s="12"/>
      <c r="AR78" s="12"/>
      <c r="AS78" s="12"/>
      <c r="AT78" s="12"/>
      <c r="AU78" s="12"/>
      <c r="AV78" s="12"/>
      <c r="AW78" s="42"/>
      <c r="AX78" s="8"/>
      <c r="AY78" s="38"/>
      <c r="AZ78" s="12"/>
      <c r="BA78" s="12"/>
      <c r="BB78" s="12"/>
      <c r="BC78" s="42"/>
    </row>
    <row r="79" spans="1:55">
      <c r="A79" s="20"/>
      <c r="B79" s="8"/>
      <c r="D79" s="8"/>
      <c r="AA79" s="8"/>
      <c r="AB79" s="38"/>
      <c r="AC79" s="12"/>
      <c r="AD79" s="12"/>
      <c r="AE79" s="12"/>
      <c r="AF79" s="12"/>
      <c r="AG79" s="12"/>
      <c r="AH79" s="12"/>
      <c r="AI79" s="12"/>
      <c r="AJ79" s="12"/>
      <c r="AK79" s="12"/>
      <c r="AL79" s="42"/>
      <c r="AM79" s="8"/>
      <c r="AN79" s="38"/>
      <c r="AO79" s="12"/>
      <c r="AP79" s="12"/>
      <c r="AQ79" s="12"/>
      <c r="AR79" s="12"/>
      <c r="AS79" s="12"/>
      <c r="AT79" s="12"/>
      <c r="AU79" s="12"/>
      <c r="AV79" s="12"/>
      <c r="AW79" s="42"/>
      <c r="AX79" s="8"/>
      <c r="AY79" s="38"/>
      <c r="AZ79" s="12"/>
      <c r="BA79" s="12"/>
      <c r="BB79" s="12"/>
      <c r="BC79" s="42"/>
    </row>
    <row r="80" spans="1:55">
      <c r="A80" s="20"/>
      <c r="B80" s="8"/>
      <c r="D80" s="8"/>
      <c r="AA80" s="8"/>
      <c r="AB80" s="38"/>
      <c r="AC80" s="12"/>
      <c r="AD80" s="12"/>
      <c r="AE80" s="12"/>
      <c r="AF80" s="12"/>
      <c r="AG80" s="12"/>
      <c r="AH80" s="12"/>
      <c r="AI80" s="12"/>
      <c r="AJ80" s="12"/>
      <c r="AK80" s="12"/>
      <c r="AL80" s="42"/>
      <c r="AM80" s="8"/>
      <c r="AN80" s="38"/>
      <c r="AO80" s="12"/>
      <c r="AP80" s="12"/>
      <c r="AQ80" s="12"/>
      <c r="AR80" s="12"/>
      <c r="AS80" s="12"/>
      <c r="AT80" s="12"/>
      <c r="AU80" s="12"/>
      <c r="AV80" s="12"/>
      <c r="AW80" s="42"/>
      <c r="AX80" s="8"/>
      <c r="AY80" s="38"/>
      <c r="AZ80" s="12"/>
      <c r="BA80" s="12"/>
      <c r="BB80" s="12"/>
      <c r="BC80" s="42"/>
    </row>
    <row r="81" spans="1:55">
      <c r="A81" s="20"/>
      <c r="B81" s="8"/>
      <c r="D81" s="8"/>
      <c r="AA81" s="8"/>
      <c r="AB81" s="38"/>
      <c r="AC81" s="12"/>
      <c r="AD81" s="12"/>
      <c r="AE81" s="12"/>
      <c r="AF81" s="12"/>
      <c r="AG81" s="12"/>
      <c r="AH81" s="12"/>
      <c r="AI81" s="12"/>
      <c r="AJ81" s="12"/>
      <c r="AK81" s="12"/>
      <c r="AL81" s="42"/>
      <c r="AM81" s="8"/>
      <c r="AN81" s="38"/>
      <c r="AO81" s="12"/>
      <c r="AP81" s="12"/>
      <c r="AQ81" s="12"/>
      <c r="AR81" s="12"/>
      <c r="AS81" s="12"/>
      <c r="AT81" s="12"/>
      <c r="AU81" s="12"/>
      <c r="AV81" s="12"/>
      <c r="AW81" s="42"/>
      <c r="AX81" s="8"/>
      <c r="AY81" s="38"/>
      <c r="AZ81" s="12"/>
      <c r="BA81" s="12"/>
      <c r="BB81" s="12"/>
      <c r="BC81" s="42"/>
    </row>
    <row r="82" spans="1:55">
      <c r="A82" s="20"/>
      <c r="B82" s="8"/>
      <c r="D82" s="8"/>
      <c r="AA82" s="8"/>
      <c r="AB82" s="38"/>
      <c r="AC82" s="12"/>
      <c r="AD82" s="12"/>
      <c r="AE82" s="12"/>
      <c r="AF82" s="12"/>
      <c r="AG82" s="12"/>
      <c r="AH82" s="12"/>
      <c r="AI82" s="12"/>
      <c r="AJ82" s="12"/>
      <c r="AK82" s="12"/>
      <c r="AL82" s="42"/>
      <c r="AM82" s="8"/>
      <c r="AN82" s="38"/>
      <c r="AO82" s="12"/>
      <c r="AP82" s="12"/>
      <c r="AQ82" s="12"/>
      <c r="AR82" s="12"/>
      <c r="AS82" s="12"/>
      <c r="AT82" s="12"/>
      <c r="AU82" s="12"/>
      <c r="AV82" s="12"/>
      <c r="AW82" s="42"/>
      <c r="AX82" s="8"/>
      <c r="AY82" s="38"/>
      <c r="AZ82" s="12"/>
      <c r="BA82" s="12"/>
      <c r="BB82" s="12"/>
      <c r="BC82" s="42"/>
    </row>
    <row r="83" spans="1:55">
      <c r="A83" s="20"/>
      <c r="B83" s="8"/>
      <c r="D83" s="8"/>
      <c r="AA83" s="8"/>
      <c r="AB83" s="38"/>
      <c r="AC83" s="12"/>
      <c r="AD83" s="12"/>
      <c r="AE83" s="12"/>
      <c r="AF83" s="12"/>
      <c r="AG83" s="12"/>
      <c r="AH83" s="12"/>
      <c r="AI83" s="12"/>
      <c r="AJ83" s="12"/>
      <c r="AK83" s="12"/>
      <c r="AL83" s="42"/>
      <c r="AM83" s="8"/>
      <c r="AN83" s="38"/>
      <c r="AO83" s="12"/>
      <c r="AP83" s="12"/>
      <c r="AQ83" s="12"/>
      <c r="AR83" s="12"/>
      <c r="AS83" s="12"/>
      <c r="AT83" s="12"/>
      <c r="AU83" s="12"/>
      <c r="AV83" s="12"/>
      <c r="AW83" s="42"/>
      <c r="AX83" s="8"/>
      <c r="AY83" s="38"/>
      <c r="AZ83" s="12"/>
      <c r="BA83" s="12"/>
      <c r="BB83" s="12"/>
      <c r="BC83" s="42"/>
    </row>
    <row r="84" spans="1:55">
      <c r="A84" s="20"/>
      <c r="B84" s="8"/>
      <c r="D84" s="8"/>
      <c r="AA84" s="8"/>
      <c r="AB84" s="38"/>
      <c r="AC84" s="12"/>
      <c r="AD84" s="12"/>
      <c r="AE84" s="12"/>
      <c r="AF84" s="12"/>
      <c r="AG84" s="12"/>
      <c r="AH84" s="12"/>
      <c r="AI84" s="12"/>
      <c r="AJ84" s="12"/>
      <c r="AK84" s="12"/>
      <c r="AL84" s="42"/>
      <c r="AM84" s="8"/>
      <c r="AN84" s="38"/>
      <c r="AO84" s="12"/>
      <c r="AP84" s="12"/>
      <c r="AQ84" s="12"/>
      <c r="AR84" s="12"/>
      <c r="AS84" s="12"/>
      <c r="AT84" s="12"/>
      <c r="AU84" s="12"/>
      <c r="AV84" s="12"/>
      <c r="AW84" s="42"/>
      <c r="AX84" s="8"/>
      <c r="AY84" s="38"/>
      <c r="AZ84" s="12"/>
      <c r="BA84" s="12"/>
      <c r="BB84" s="12"/>
      <c r="BC84" s="42"/>
    </row>
    <row r="85" spans="1:55">
      <c r="A85" s="20"/>
      <c r="B85" s="8"/>
      <c r="D85" s="8"/>
      <c r="AA85" s="8"/>
      <c r="AB85" s="38"/>
      <c r="AC85" s="12"/>
      <c r="AD85" s="12"/>
      <c r="AE85" s="12"/>
      <c r="AF85" s="12"/>
      <c r="AG85" s="12"/>
      <c r="AH85" s="12"/>
      <c r="AI85" s="12"/>
      <c r="AJ85" s="12"/>
      <c r="AK85" s="12"/>
      <c r="AL85" s="42"/>
      <c r="AM85" s="8"/>
      <c r="AN85" s="38"/>
      <c r="AO85" s="12"/>
      <c r="AP85" s="12"/>
      <c r="AQ85" s="12"/>
      <c r="AR85" s="12"/>
      <c r="AS85" s="12"/>
      <c r="AT85" s="12"/>
      <c r="AU85" s="12"/>
      <c r="AV85" s="12"/>
      <c r="AW85" s="42"/>
      <c r="AX85" s="8"/>
      <c r="AY85" s="38"/>
      <c r="AZ85" s="12"/>
      <c r="BA85" s="12"/>
      <c r="BB85" s="12"/>
      <c r="BC85" s="42"/>
    </row>
    <row r="86" spans="1:55">
      <c r="A86" s="20"/>
      <c r="B86" s="8"/>
      <c r="D86" s="8"/>
      <c r="AA86" s="8"/>
      <c r="AB86" s="38"/>
      <c r="AC86" s="12"/>
      <c r="AD86" s="12"/>
      <c r="AE86" s="12"/>
      <c r="AF86" s="12"/>
      <c r="AG86" s="12"/>
      <c r="AH86" s="12"/>
      <c r="AI86" s="12"/>
      <c r="AJ86" s="12"/>
      <c r="AK86" s="12"/>
      <c r="AL86" s="42"/>
      <c r="AM86" s="8"/>
      <c r="AN86" s="38"/>
      <c r="AO86" s="12"/>
      <c r="AP86" s="12"/>
      <c r="AQ86" s="12"/>
      <c r="AR86" s="12"/>
      <c r="AS86" s="12"/>
      <c r="AT86" s="12"/>
      <c r="AU86" s="12"/>
      <c r="AV86" s="12"/>
      <c r="AW86" s="42"/>
      <c r="AX86" s="8"/>
      <c r="AY86" s="38"/>
      <c r="AZ86" s="12"/>
      <c r="BA86" s="12"/>
      <c r="BB86" s="12"/>
      <c r="BC86" s="42"/>
    </row>
    <row r="87" spans="1:55">
      <c r="A87" s="20"/>
      <c r="B87" s="8"/>
      <c r="D87" s="8"/>
      <c r="AA87" s="8"/>
      <c r="AB87" s="38"/>
      <c r="AC87" s="12"/>
      <c r="AD87" s="12"/>
      <c r="AE87" s="12"/>
      <c r="AF87" s="12"/>
      <c r="AG87" s="12"/>
      <c r="AH87" s="12"/>
      <c r="AI87" s="12"/>
      <c r="AJ87" s="12"/>
      <c r="AK87" s="12"/>
      <c r="AL87" s="42"/>
      <c r="AM87" s="8"/>
      <c r="AN87" s="38"/>
      <c r="AO87" s="12"/>
      <c r="AP87" s="12"/>
      <c r="AQ87" s="12"/>
      <c r="AR87" s="12"/>
      <c r="AS87" s="12"/>
      <c r="AT87" s="12"/>
      <c r="AU87" s="12"/>
      <c r="AV87" s="12"/>
      <c r="AW87" s="42"/>
      <c r="AX87" s="8"/>
      <c r="AY87" s="38"/>
      <c r="AZ87" s="12"/>
      <c r="BA87" s="12"/>
      <c r="BB87" s="12"/>
      <c r="BC87" s="42"/>
    </row>
    <row r="88" spans="1:55">
      <c r="A88" s="20"/>
      <c r="B88" s="8"/>
      <c r="D88" s="8"/>
      <c r="AA88" s="8"/>
      <c r="AB88" s="38"/>
      <c r="AC88" s="12"/>
      <c r="AD88" s="12"/>
      <c r="AE88" s="12"/>
      <c r="AF88" s="12"/>
      <c r="AG88" s="12"/>
      <c r="AH88" s="12"/>
      <c r="AI88" s="12"/>
      <c r="AJ88" s="12"/>
      <c r="AK88" s="12"/>
      <c r="AL88" s="42"/>
      <c r="AM88" s="8"/>
      <c r="AN88" s="38"/>
      <c r="AO88" s="12"/>
      <c r="AP88" s="12"/>
      <c r="AQ88" s="12"/>
      <c r="AR88" s="12"/>
      <c r="AS88" s="12"/>
      <c r="AT88" s="12"/>
      <c r="AU88" s="12"/>
      <c r="AV88" s="12"/>
      <c r="AW88" s="42"/>
      <c r="AX88" s="8"/>
      <c r="AY88" s="38"/>
      <c r="AZ88" s="12"/>
      <c r="BA88" s="12"/>
      <c r="BB88" s="12"/>
      <c r="BC88" s="42"/>
    </row>
    <row r="89" spans="1:55">
      <c r="A89" s="20"/>
      <c r="B89" s="8"/>
      <c r="D89" s="8"/>
      <c r="AA89" s="8"/>
      <c r="AB89" s="38"/>
      <c r="AC89" s="12"/>
      <c r="AD89" s="12"/>
      <c r="AE89" s="12"/>
      <c r="AF89" s="12"/>
      <c r="AG89" s="12"/>
      <c r="AH89" s="12"/>
      <c r="AI89" s="12"/>
      <c r="AJ89" s="12"/>
      <c r="AK89" s="12"/>
      <c r="AL89" s="42"/>
      <c r="AM89" s="8"/>
      <c r="AN89" s="38"/>
      <c r="AO89" s="12"/>
      <c r="AP89" s="12"/>
      <c r="AQ89" s="12"/>
      <c r="AR89" s="12"/>
      <c r="AS89" s="12"/>
      <c r="AT89" s="12"/>
      <c r="AU89" s="12"/>
      <c r="AV89" s="12"/>
      <c r="AW89" s="42"/>
      <c r="AX89" s="8"/>
      <c r="AY89" s="38"/>
      <c r="AZ89" s="12"/>
      <c r="BA89" s="12"/>
      <c r="BB89" s="12"/>
      <c r="BC89" s="42"/>
    </row>
    <row r="90" spans="1:55">
      <c r="A90" s="20"/>
      <c r="B90" s="8"/>
      <c r="D90" s="8"/>
      <c r="AA90" s="8"/>
      <c r="AB90" s="38"/>
      <c r="AC90" s="12"/>
      <c r="AD90" s="12"/>
      <c r="AE90" s="12"/>
      <c r="AF90" s="12"/>
      <c r="AG90" s="12"/>
      <c r="AH90" s="12"/>
      <c r="AI90" s="12"/>
      <c r="AJ90" s="12"/>
      <c r="AK90" s="12"/>
      <c r="AL90" s="42"/>
      <c r="AM90" s="8"/>
      <c r="AN90" s="38"/>
      <c r="AO90" s="12"/>
      <c r="AP90" s="12"/>
      <c r="AQ90" s="12"/>
      <c r="AR90" s="12"/>
      <c r="AS90" s="12"/>
      <c r="AT90" s="12"/>
      <c r="AU90" s="12"/>
      <c r="AV90" s="12"/>
      <c r="AW90" s="42"/>
      <c r="AX90" s="8"/>
      <c r="AY90" s="38"/>
      <c r="AZ90" s="12"/>
      <c r="BA90" s="12"/>
      <c r="BB90" s="12"/>
      <c r="BC90" s="42"/>
    </row>
    <row r="91" spans="1:55">
      <c r="A91" s="20"/>
      <c r="B91" s="8"/>
      <c r="D91" s="8"/>
      <c r="AA91" s="8"/>
      <c r="AB91" s="38"/>
      <c r="AC91" s="12"/>
      <c r="AD91" s="12"/>
      <c r="AE91" s="12"/>
      <c r="AF91" s="12"/>
      <c r="AG91" s="12"/>
      <c r="AH91" s="12"/>
      <c r="AI91" s="12"/>
      <c r="AJ91" s="12"/>
      <c r="AK91" s="12"/>
      <c r="AL91" s="42"/>
      <c r="AM91" s="8"/>
      <c r="AN91" s="38"/>
      <c r="AO91" s="12"/>
      <c r="AP91" s="12"/>
      <c r="AQ91" s="12"/>
      <c r="AR91" s="12"/>
      <c r="AS91" s="12"/>
      <c r="AT91" s="12"/>
      <c r="AU91" s="12"/>
      <c r="AV91" s="12"/>
      <c r="AW91" s="42"/>
      <c r="AX91" s="8"/>
      <c r="AY91" s="38"/>
      <c r="AZ91" s="12"/>
      <c r="BA91" s="12"/>
      <c r="BB91" s="12"/>
      <c r="BC91" s="42"/>
    </row>
    <row r="92" spans="1:55">
      <c r="A92" s="20"/>
      <c r="B92" s="8"/>
      <c r="D92" s="8"/>
      <c r="AA92" s="8"/>
      <c r="AB92" s="38"/>
      <c r="AC92" s="12"/>
      <c r="AD92" s="12"/>
      <c r="AE92" s="12"/>
      <c r="AF92" s="12"/>
      <c r="AG92" s="12"/>
      <c r="AH92" s="12"/>
      <c r="AI92" s="12"/>
      <c r="AJ92" s="12"/>
      <c r="AK92" s="12"/>
      <c r="AL92" s="42"/>
      <c r="AM92" s="8"/>
      <c r="AN92" s="38"/>
      <c r="AO92" s="12"/>
      <c r="AP92" s="12"/>
      <c r="AQ92" s="12"/>
      <c r="AR92" s="12"/>
      <c r="AS92" s="12"/>
      <c r="AT92" s="12"/>
      <c r="AU92" s="12"/>
      <c r="AV92" s="12"/>
      <c r="AW92" s="42"/>
      <c r="AX92" s="8"/>
      <c r="AY92" s="38"/>
      <c r="AZ92" s="12"/>
      <c r="BA92" s="12"/>
      <c r="BB92" s="12"/>
      <c r="BC92" s="42"/>
    </row>
    <row r="93" spans="1:55">
      <c r="A93" s="20"/>
      <c r="B93" s="8"/>
      <c r="D93" s="8"/>
      <c r="AA93" s="8"/>
      <c r="AB93" s="38"/>
      <c r="AC93" s="12"/>
      <c r="AD93" s="12"/>
      <c r="AE93" s="12"/>
      <c r="AF93" s="12"/>
      <c r="AG93" s="12"/>
      <c r="AH93" s="12"/>
      <c r="AI93" s="12"/>
      <c r="AJ93" s="12"/>
      <c r="AK93" s="12"/>
      <c r="AL93" s="42"/>
      <c r="AM93" s="8"/>
      <c r="AN93" s="38"/>
      <c r="AO93" s="12"/>
      <c r="AP93" s="12"/>
      <c r="AQ93" s="12"/>
      <c r="AR93" s="12"/>
      <c r="AS93" s="12"/>
      <c r="AT93" s="12"/>
      <c r="AU93" s="12"/>
      <c r="AV93" s="12"/>
      <c r="AW93" s="42"/>
      <c r="AX93" s="8"/>
      <c r="AY93" s="38"/>
      <c r="AZ93" s="12"/>
      <c r="BA93" s="12"/>
      <c r="BB93" s="12"/>
      <c r="BC93" s="42"/>
    </row>
    <row r="94" spans="1:55">
      <c r="A94" s="20"/>
      <c r="B94" s="8"/>
      <c r="D94" s="8"/>
      <c r="AA94" s="8"/>
      <c r="AB94" s="38"/>
      <c r="AC94" s="12"/>
      <c r="AD94" s="12"/>
      <c r="AE94" s="12"/>
      <c r="AF94" s="12"/>
      <c r="AG94" s="12"/>
      <c r="AH94" s="12"/>
      <c r="AI94" s="12"/>
      <c r="AJ94" s="12"/>
      <c r="AK94" s="12"/>
      <c r="AL94" s="42"/>
      <c r="AM94" s="8"/>
      <c r="AN94" s="38"/>
      <c r="AO94" s="12"/>
      <c r="AP94" s="12"/>
      <c r="AQ94" s="12"/>
      <c r="AR94" s="12"/>
      <c r="AS94" s="12"/>
      <c r="AT94" s="12"/>
      <c r="AU94" s="12"/>
      <c r="AV94" s="12"/>
      <c r="AW94" s="42"/>
      <c r="AX94" s="8"/>
      <c r="AY94" s="38"/>
      <c r="AZ94" s="12"/>
      <c r="BA94" s="12"/>
      <c r="BB94" s="12"/>
      <c r="BC94" s="42"/>
    </row>
    <row r="95" spans="1:55">
      <c r="A95" s="20"/>
      <c r="B95" s="8"/>
      <c r="D95" s="8"/>
      <c r="AA95" s="8"/>
      <c r="AB95" s="38"/>
      <c r="AC95" s="12"/>
      <c r="AD95" s="12"/>
      <c r="AE95" s="12"/>
      <c r="AF95" s="12"/>
      <c r="AG95" s="12"/>
      <c r="AH95" s="12"/>
      <c r="AI95" s="12"/>
      <c r="AJ95" s="12"/>
      <c r="AK95" s="12"/>
      <c r="AL95" s="42"/>
      <c r="AM95" s="8"/>
      <c r="AN95" s="38"/>
      <c r="AO95" s="12"/>
      <c r="AP95" s="12"/>
      <c r="AQ95" s="12"/>
      <c r="AR95" s="12"/>
      <c r="AS95" s="12"/>
      <c r="AT95" s="12"/>
      <c r="AU95" s="12"/>
      <c r="AV95" s="12"/>
      <c r="AW95" s="42"/>
      <c r="AX95" s="8"/>
      <c r="AY95" s="38"/>
      <c r="AZ95" s="12"/>
      <c r="BA95" s="12"/>
      <c r="BB95" s="12"/>
      <c r="BC95" s="42"/>
    </row>
    <row r="96" spans="1:55">
      <c r="A96" s="20"/>
      <c r="B96" s="8"/>
      <c r="D96" s="8"/>
      <c r="AA96" s="8"/>
      <c r="AB96" s="38"/>
      <c r="AC96" s="12"/>
      <c r="AD96" s="12"/>
      <c r="AE96" s="12"/>
      <c r="AF96" s="12"/>
      <c r="AG96" s="12"/>
      <c r="AH96" s="12"/>
      <c r="AI96" s="12"/>
      <c r="AJ96" s="12"/>
      <c r="AK96" s="12"/>
      <c r="AL96" s="42"/>
      <c r="AM96" s="8"/>
      <c r="AN96" s="38"/>
      <c r="AO96" s="12"/>
      <c r="AP96" s="12"/>
      <c r="AQ96" s="12"/>
      <c r="AR96" s="12"/>
      <c r="AS96" s="12"/>
      <c r="AT96" s="12"/>
      <c r="AU96" s="12"/>
      <c r="AV96" s="12"/>
      <c r="AW96" s="42"/>
      <c r="AX96" s="8"/>
      <c r="AY96" s="38"/>
      <c r="AZ96" s="12"/>
      <c r="BA96" s="12"/>
      <c r="BB96" s="12"/>
      <c r="BC96" s="42"/>
    </row>
    <row r="97" spans="1:55">
      <c r="A97" s="20"/>
      <c r="B97" s="8"/>
      <c r="D97" s="8"/>
      <c r="AA97" s="8"/>
      <c r="AB97" s="38"/>
      <c r="AC97" s="12"/>
      <c r="AD97" s="12"/>
      <c r="AE97" s="12"/>
      <c r="AF97" s="12"/>
      <c r="AG97" s="12"/>
      <c r="AH97" s="12"/>
      <c r="AI97" s="12"/>
      <c r="AJ97" s="12"/>
      <c r="AK97" s="12"/>
      <c r="AL97" s="42"/>
      <c r="AM97" s="8"/>
      <c r="AN97" s="38"/>
      <c r="AO97" s="12"/>
      <c r="AP97" s="12"/>
      <c r="AQ97" s="12"/>
      <c r="AR97" s="12"/>
      <c r="AS97" s="12"/>
      <c r="AT97" s="12"/>
      <c r="AU97" s="12"/>
      <c r="AV97" s="12"/>
      <c r="AW97" s="42"/>
      <c r="AX97" s="8"/>
      <c r="AY97" s="38"/>
      <c r="AZ97" s="12"/>
      <c r="BA97" s="12"/>
      <c r="BB97" s="12"/>
      <c r="BC97" s="42"/>
    </row>
    <row r="98" spans="1:55">
      <c r="A98" s="20"/>
      <c r="B98" s="8"/>
      <c r="D98" s="8"/>
      <c r="AA98" s="8"/>
      <c r="AB98" s="38"/>
      <c r="AC98" s="12"/>
      <c r="AD98" s="12"/>
      <c r="AE98" s="12"/>
      <c r="AF98" s="12"/>
      <c r="AG98" s="12"/>
      <c r="AH98" s="12"/>
      <c r="AI98" s="12"/>
      <c r="AJ98" s="12"/>
      <c r="AK98" s="12"/>
      <c r="AL98" s="42"/>
      <c r="AM98" s="8"/>
      <c r="AN98" s="38"/>
      <c r="AO98" s="12"/>
      <c r="AP98" s="12"/>
      <c r="AQ98" s="12"/>
      <c r="AR98" s="12"/>
      <c r="AS98" s="12"/>
      <c r="AT98" s="12"/>
      <c r="AU98" s="12"/>
      <c r="AV98" s="12"/>
      <c r="AW98" s="42"/>
      <c r="AX98" s="8"/>
      <c r="AY98" s="38"/>
      <c r="AZ98" s="12"/>
      <c r="BA98" s="12"/>
      <c r="BB98" s="12"/>
      <c r="BC98" s="42"/>
    </row>
    <row r="99" spans="1:55">
      <c r="A99" s="20"/>
      <c r="B99" s="8"/>
      <c r="D99" s="8"/>
      <c r="AA99" s="8"/>
      <c r="AB99" s="38"/>
      <c r="AC99" s="12"/>
      <c r="AD99" s="12"/>
      <c r="AE99" s="12"/>
      <c r="AF99" s="12"/>
      <c r="AG99" s="12"/>
      <c r="AH99" s="12"/>
      <c r="AI99" s="12"/>
      <c r="AJ99" s="12"/>
      <c r="AK99" s="12"/>
      <c r="AL99" s="42"/>
      <c r="AM99" s="8"/>
      <c r="AN99" s="38"/>
      <c r="AO99" s="12"/>
      <c r="AP99" s="12"/>
      <c r="AQ99" s="12"/>
      <c r="AR99" s="12"/>
      <c r="AS99" s="12"/>
      <c r="AT99" s="12"/>
      <c r="AU99" s="12"/>
      <c r="AV99" s="12"/>
      <c r="AW99" s="42"/>
      <c r="AX99" s="8"/>
      <c r="AY99" s="38"/>
      <c r="AZ99" s="12"/>
      <c r="BA99" s="12"/>
      <c r="BB99" s="12"/>
      <c r="BC99" s="42"/>
    </row>
    <row r="100" spans="1:55">
      <c r="A100" s="20"/>
      <c r="B100" s="8"/>
      <c r="D100" s="8"/>
      <c r="AA100" s="8"/>
      <c r="AB100" s="38"/>
      <c r="AC100" s="12"/>
      <c r="AD100" s="12"/>
      <c r="AE100" s="12"/>
      <c r="AF100" s="12"/>
      <c r="AG100" s="12"/>
      <c r="AH100" s="12"/>
      <c r="AI100" s="12"/>
      <c r="AJ100" s="12"/>
      <c r="AK100" s="12"/>
      <c r="AL100" s="42"/>
      <c r="AM100" s="8"/>
      <c r="AN100" s="38"/>
      <c r="AO100" s="12"/>
      <c r="AP100" s="12"/>
      <c r="AQ100" s="12"/>
      <c r="AR100" s="12"/>
      <c r="AS100" s="12"/>
      <c r="AT100" s="12"/>
      <c r="AU100" s="12"/>
      <c r="AV100" s="12"/>
      <c r="AW100" s="42"/>
      <c r="AX100" s="8"/>
      <c r="AY100" s="38"/>
      <c r="AZ100" s="12"/>
      <c r="BA100" s="12"/>
      <c r="BB100" s="12"/>
      <c r="BC100" s="42"/>
    </row>
    <row r="101" spans="1:55">
      <c r="A101" s="20"/>
      <c r="B101" s="8"/>
      <c r="D101" s="8"/>
      <c r="AA101" s="8"/>
      <c r="AB101" s="38"/>
      <c r="AC101" s="12"/>
      <c r="AD101" s="12"/>
      <c r="AE101" s="12"/>
      <c r="AF101" s="12"/>
      <c r="AG101" s="12"/>
      <c r="AH101" s="12"/>
      <c r="AI101" s="12"/>
      <c r="AJ101" s="12"/>
      <c r="AK101" s="12"/>
      <c r="AL101" s="42"/>
      <c r="AM101" s="8"/>
      <c r="AN101" s="38"/>
      <c r="AO101" s="12"/>
      <c r="AP101" s="12"/>
      <c r="AQ101" s="12"/>
      <c r="AR101" s="12"/>
      <c r="AS101" s="12"/>
      <c r="AT101" s="12"/>
      <c r="AU101" s="12"/>
      <c r="AV101" s="12"/>
      <c r="AW101" s="42"/>
      <c r="AX101" s="8"/>
      <c r="AY101" s="38"/>
      <c r="AZ101" s="12"/>
      <c r="BA101" s="12"/>
      <c r="BB101" s="12"/>
      <c r="BC101" s="42"/>
    </row>
    <row r="102" spans="1:55">
      <c r="A102" s="20"/>
      <c r="B102" s="8"/>
      <c r="D102" s="8"/>
      <c r="AA102" s="8"/>
      <c r="AB102" s="38"/>
      <c r="AC102" s="12"/>
      <c r="AD102" s="12"/>
      <c r="AE102" s="12"/>
      <c r="AF102" s="12"/>
      <c r="AG102" s="12"/>
      <c r="AH102" s="12"/>
      <c r="AI102" s="12"/>
      <c r="AJ102" s="12"/>
      <c r="AK102" s="12"/>
      <c r="AL102" s="42"/>
      <c r="AM102" s="8"/>
      <c r="AN102" s="38"/>
      <c r="AO102" s="12"/>
      <c r="AP102" s="12"/>
      <c r="AQ102" s="12"/>
      <c r="AR102" s="12"/>
      <c r="AS102" s="12"/>
      <c r="AT102" s="12"/>
      <c r="AU102" s="12"/>
      <c r="AV102" s="12"/>
      <c r="AW102" s="42"/>
      <c r="AX102" s="8"/>
      <c r="AY102" s="38"/>
      <c r="AZ102" s="12"/>
      <c r="BA102" s="12"/>
      <c r="BB102" s="12"/>
      <c r="BC102" s="42"/>
    </row>
    <row r="103" spans="1:55">
      <c r="A103" s="20"/>
      <c r="B103" s="8"/>
      <c r="D103" s="8"/>
      <c r="AA103" s="8"/>
      <c r="AB103" s="38"/>
      <c r="AC103" s="12"/>
      <c r="AD103" s="12"/>
      <c r="AE103" s="12"/>
      <c r="AF103" s="12"/>
      <c r="AG103" s="12"/>
      <c r="AH103" s="12"/>
      <c r="AI103" s="12"/>
      <c r="AJ103" s="12"/>
      <c r="AK103" s="12"/>
      <c r="AL103" s="42"/>
      <c r="AM103" s="8"/>
      <c r="AN103" s="38"/>
      <c r="AO103" s="12"/>
      <c r="AP103" s="12"/>
      <c r="AQ103" s="12"/>
      <c r="AR103" s="12"/>
      <c r="AS103" s="12"/>
      <c r="AT103" s="12"/>
      <c r="AU103" s="12"/>
      <c r="AV103" s="12"/>
      <c r="AW103" s="42"/>
      <c r="AX103" s="8"/>
      <c r="AY103" s="38"/>
      <c r="AZ103" s="12"/>
      <c r="BA103" s="12"/>
      <c r="BB103" s="12"/>
      <c r="BC103" s="42"/>
    </row>
    <row r="104" spans="1:55">
      <c r="A104" s="20"/>
      <c r="B104" s="8"/>
      <c r="D104" s="8"/>
      <c r="AA104" s="8"/>
      <c r="AB104" s="38"/>
      <c r="AC104" s="12"/>
      <c r="AD104" s="12"/>
      <c r="AE104" s="12"/>
      <c r="AF104" s="12"/>
      <c r="AG104" s="12"/>
      <c r="AH104" s="12"/>
      <c r="AI104" s="12"/>
      <c r="AJ104" s="12"/>
      <c r="AK104" s="12"/>
      <c r="AL104" s="42"/>
      <c r="AM104" s="8"/>
      <c r="AN104" s="38"/>
      <c r="AO104" s="12"/>
      <c r="AP104" s="12"/>
      <c r="AQ104" s="12"/>
      <c r="AR104" s="12"/>
      <c r="AS104" s="12"/>
      <c r="AT104" s="12"/>
      <c r="AU104" s="12"/>
      <c r="AV104" s="12"/>
      <c r="AW104" s="42"/>
      <c r="AX104" s="8"/>
      <c r="AY104" s="38"/>
      <c r="AZ104" s="12"/>
      <c r="BA104" s="12"/>
      <c r="BB104" s="12"/>
      <c r="BC104" s="42"/>
    </row>
    <row r="105" spans="1:55">
      <c r="A105" s="20"/>
      <c r="B105" s="8"/>
      <c r="D105" s="8"/>
      <c r="AA105" s="8"/>
      <c r="AB105" s="38"/>
      <c r="AC105" s="12"/>
      <c r="AD105" s="12"/>
      <c r="AE105" s="12"/>
      <c r="AF105" s="12"/>
      <c r="AG105" s="12"/>
      <c r="AH105" s="12"/>
      <c r="AI105" s="12"/>
      <c r="AJ105" s="12"/>
      <c r="AK105" s="12"/>
      <c r="AL105" s="42"/>
      <c r="AM105" s="8"/>
      <c r="AN105" s="38"/>
      <c r="AO105" s="12"/>
      <c r="AP105" s="12"/>
      <c r="AQ105" s="12"/>
      <c r="AR105" s="12"/>
      <c r="AS105" s="12"/>
      <c r="AT105" s="12"/>
      <c r="AU105" s="12"/>
      <c r="AV105" s="12"/>
      <c r="AW105" s="42"/>
      <c r="AX105" s="8"/>
      <c r="AY105" s="38"/>
      <c r="AZ105" s="12"/>
      <c r="BA105" s="12"/>
      <c r="BB105" s="12"/>
      <c r="BC105" s="42"/>
    </row>
    <row r="106" spans="1:55">
      <c r="A106" s="20"/>
      <c r="B106" s="8"/>
      <c r="D106" s="8"/>
      <c r="AA106" s="8"/>
      <c r="AB106" s="38"/>
      <c r="AC106" s="12"/>
      <c r="AD106" s="12"/>
      <c r="AE106" s="12"/>
      <c r="AF106" s="12"/>
      <c r="AG106" s="12"/>
      <c r="AH106" s="12"/>
      <c r="AI106" s="12"/>
      <c r="AJ106" s="12"/>
      <c r="AK106" s="12"/>
      <c r="AL106" s="42"/>
      <c r="AM106" s="8"/>
      <c r="AN106" s="38"/>
      <c r="AO106" s="12"/>
      <c r="AP106" s="12"/>
      <c r="AQ106" s="12"/>
      <c r="AR106" s="12"/>
      <c r="AS106" s="12"/>
      <c r="AT106" s="12"/>
      <c r="AU106" s="12"/>
      <c r="AV106" s="12"/>
      <c r="AW106" s="42"/>
      <c r="AX106" s="8"/>
      <c r="AY106" s="38"/>
      <c r="AZ106" s="12"/>
      <c r="BA106" s="12"/>
      <c r="BB106" s="12"/>
      <c r="BC106" s="42"/>
    </row>
    <row r="107" spans="1:55">
      <c r="A107" s="20"/>
      <c r="B107" s="8"/>
      <c r="D107" s="8"/>
      <c r="AA107" s="8"/>
      <c r="AB107" s="38"/>
      <c r="AC107" s="12"/>
      <c r="AD107" s="12"/>
      <c r="AE107" s="12"/>
      <c r="AF107" s="12"/>
      <c r="AG107" s="12"/>
      <c r="AH107" s="12"/>
      <c r="AI107" s="12"/>
      <c r="AJ107" s="12"/>
      <c r="AK107" s="12"/>
      <c r="AL107" s="42"/>
      <c r="AM107" s="8"/>
      <c r="AN107" s="38"/>
      <c r="AO107" s="12"/>
      <c r="AP107" s="12"/>
      <c r="AQ107" s="12"/>
      <c r="AR107" s="12"/>
      <c r="AS107" s="12"/>
      <c r="AT107" s="12"/>
      <c r="AU107" s="12"/>
      <c r="AV107" s="12"/>
      <c r="AW107" s="42"/>
      <c r="AX107" s="8"/>
      <c r="AY107" s="38"/>
      <c r="AZ107" s="12"/>
      <c r="BA107" s="12"/>
      <c r="BB107" s="12"/>
      <c r="BC107" s="42"/>
    </row>
    <row r="108" spans="1:55">
      <c r="A108" s="20"/>
      <c r="B108" s="8"/>
      <c r="D108" s="8"/>
      <c r="AA108" s="8"/>
      <c r="AB108" s="38"/>
      <c r="AC108" s="12"/>
      <c r="AD108" s="12"/>
      <c r="AE108" s="12"/>
      <c r="AF108" s="12"/>
      <c r="AG108" s="12"/>
      <c r="AH108" s="12"/>
      <c r="AI108" s="12"/>
      <c r="AJ108" s="12"/>
      <c r="AK108" s="12"/>
      <c r="AL108" s="42"/>
      <c r="AM108" s="8"/>
      <c r="AN108" s="38"/>
      <c r="AO108" s="12"/>
      <c r="AP108" s="12"/>
      <c r="AQ108" s="12"/>
      <c r="AR108" s="12"/>
      <c r="AS108" s="12"/>
      <c r="AT108" s="12"/>
      <c r="AU108" s="12"/>
      <c r="AV108" s="12"/>
      <c r="AW108" s="42"/>
      <c r="AX108" s="8"/>
      <c r="AY108" s="38"/>
      <c r="AZ108" s="12"/>
      <c r="BA108" s="12"/>
      <c r="BB108" s="12"/>
      <c r="BC108" s="42"/>
    </row>
    <row r="109" spans="1:55">
      <c r="A109" s="20"/>
      <c r="B109" s="8"/>
      <c r="D109" s="8"/>
      <c r="AA109" s="8"/>
      <c r="AB109" s="38"/>
      <c r="AC109" s="12"/>
      <c r="AD109" s="12"/>
      <c r="AE109" s="12"/>
      <c r="AF109" s="12"/>
      <c r="AG109" s="12"/>
      <c r="AH109" s="12"/>
      <c r="AI109" s="12"/>
      <c r="AJ109" s="12"/>
      <c r="AK109" s="12"/>
      <c r="AL109" s="42"/>
      <c r="AM109" s="8"/>
      <c r="AN109" s="38"/>
      <c r="AO109" s="12"/>
      <c r="AP109" s="12"/>
      <c r="AQ109" s="12"/>
      <c r="AR109" s="12"/>
      <c r="AS109" s="12"/>
      <c r="AT109" s="12"/>
      <c r="AU109" s="12"/>
      <c r="AV109" s="12"/>
      <c r="AW109" s="42"/>
      <c r="AX109" s="8"/>
      <c r="AY109" s="38"/>
      <c r="AZ109" s="12"/>
      <c r="BA109" s="12"/>
      <c r="BB109" s="12"/>
      <c r="BC109" s="42"/>
    </row>
    <row r="110" spans="1:55">
      <c r="A110" s="20"/>
      <c r="B110" s="8"/>
      <c r="D110" s="8"/>
      <c r="AA110" s="8"/>
      <c r="AB110" s="38"/>
      <c r="AC110" s="12"/>
      <c r="AD110" s="12"/>
      <c r="AE110" s="12"/>
      <c r="AF110" s="12"/>
      <c r="AG110" s="12"/>
      <c r="AH110" s="12"/>
      <c r="AI110" s="12"/>
      <c r="AJ110" s="12"/>
      <c r="AK110" s="12"/>
      <c r="AL110" s="42"/>
      <c r="AM110" s="8"/>
      <c r="AN110" s="38"/>
      <c r="AO110" s="12"/>
      <c r="AP110" s="12"/>
      <c r="AQ110" s="12"/>
      <c r="AR110" s="12"/>
      <c r="AS110" s="12"/>
      <c r="AT110" s="12"/>
      <c r="AU110" s="12"/>
      <c r="AV110" s="12"/>
      <c r="AW110" s="42"/>
      <c r="AX110" s="8"/>
      <c r="AY110" s="38"/>
      <c r="AZ110" s="12"/>
      <c r="BA110" s="12"/>
      <c r="BB110" s="12"/>
      <c r="BC110" s="42"/>
    </row>
    <row r="111" spans="1:55">
      <c r="A111" s="21"/>
      <c r="D111" s="8"/>
      <c r="AA111" s="8"/>
      <c r="AB111" s="38"/>
      <c r="AC111" s="12"/>
      <c r="AD111" s="12"/>
      <c r="AE111" s="12"/>
      <c r="AF111" s="12"/>
      <c r="AG111" s="12"/>
      <c r="AH111" s="12"/>
      <c r="AI111" s="12"/>
      <c r="AJ111" s="12"/>
      <c r="AK111" s="12"/>
      <c r="AL111" s="42"/>
      <c r="AM111" s="8"/>
      <c r="AN111" s="38"/>
      <c r="AO111" s="12"/>
      <c r="AP111" s="12"/>
      <c r="AQ111" s="12"/>
      <c r="AR111" s="12"/>
      <c r="AS111" s="12"/>
      <c r="AT111" s="12"/>
      <c r="AU111" s="12"/>
      <c r="AV111" s="12"/>
      <c r="AW111" s="42"/>
      <c r="AX111" s="8"/>
      <c r="AY111" s="38"/>
      <c r="AZ111" s="12"/>
      <c r="BA111" s="12"/>
      <c r="BB111" s="12"/>
      <c r="BC111" s="42"/>
    </row>
    <row r="112" spans="1:55">
      <c r="A112" s="21"/>
      <c r="B112" s="8"/>
      <c r="D112" s="8"/>
      <c r="AA112" s="8"/>
      <c r="AB112" s="38"/>
      <c r="AC112" s="12"/>
      <c r="AD112" s="12"/>
      <c r="AE112" s="12"/>
      <c r="AF112" s="12"/>
      <c r="AG112" s="12"/>
      <c r="AH112" s="12"/>
      <c r="AI112" s="12"/>
      <c r="AJ112" s="12"/>
      <c r="AK112" s="12"/>
      <c r="AL112" s="42"/>
      <c r="AM112" s="8"/>
      <c r="AN112" s="38"/>
      <c r="AO112" s="12"/>
      <c r="AP112" s="12"/>
      <c r="AQ112" s="12"/>
      <c r="AR112" s="12"/>
      <c r="AS112" s="12"/>
      <c r="AT112" s="12"/>
      <c r="AU112" s="12"/>
      <c r="AV112" s="12"/>
      <c r="AW112" s="42"/>
      <c r="AX112" s="8"/>
      <c r="AY112" s="38"/>
      <c r="AZ112" s="12"/>
      <c r="BA112" s="12"/>
      <c r="BB112" s="12"/>
      <c r="BC112" s="42"/>
    </row>
    <row r="113" spans="1:55">
      <c r="A113" s="21"/>
      <c r="B113" s="8"/>
      <c r="D113" s="8"/>
      <c r="AA113" s="8"/>
      <c r="AB113" s="38"/>
      <c r="AC113" s="12"/>
      <c r="AD113" s="12"/>
      <c r="AE113" s="12"/>
      <c r="AF113" s="12"/>
      <c r="AG113" s="12"/>
      <c r="AH113" s="12"/>
      <c r="AI113" s="12"/>
      <c r="AJ113" s="12"/>
      <c r="AK113" s="12"/>
      <c r="AL113" s="42"/>
      <c r="AM113" s="8"/>
      <c r="AN113" s="38"/>
      <c r="AO113" s="12"/>
      <c r="AP113" s="12"/>
      <c r="AQ113" s="12"/>
      <c r="AR113" s="12"/>
      <c r="AS113" s="12"/>
      <c r="AT113" s="12"/>
      <c r="AU113" s="12"/>
      <c r="AV113" s="12"/>
      <c r="AW113" s="42"/>
      <c r="AX113" s="8"/>
      <c r="AY113" s="38"/>
      <c r="AZ113" s="12"/>
      <c r="BA113" s="12"/>
      <c r="BB113" s="12"/>
      <c r="BC113" s="42"/>
    </row>
    <row r="114" spans="1:55">
      <c r="A114" s="21"/>
      <c r="B114" s="8"/>
      <c r="D114" s="8"/>
      <c r="AA114" s="8"/>
      <c r="AB114" s="38"/>
      <c r="AC114" s="12"/>
      <c r="AD114" s="12"/>
      <c r="AE114" s="12"/>
      <c r="AF114" s="12"/>
      <c r="AG114" s="12"/>
      <c r="AH114" s="12"/>
      <c r="AI114" s="12"/>
      <c r="AJ114" s="12"/>
      <c r="AK114" s="12"/>
      <c r="AL114" s="42"/>
      <c r="AM114" s="8"/>
      <c r="AN114" s="38"/>
      <c r="AO114" s="12"/>
      <c r="AP114" s="12"/>
      <c r="AQ114" s="12"/>
      <c r="AR114" s="12"/>
      <c r="AS114" s="12"/>
      <c r="AT114" s="12"/>
      <c r="AU114" s="12"/>
      <c r="AV114" s="12"/>
      <c r="AW114" s="42"/>
      <c r="AX114" s="8"/>
      <c r="AY114" s="38"/>
      <c r="AZ114" s="12"/>
      <c r="BA114" s="12"/>
      <c r="BB114" s="12"/>
      <c r="BC114" s="42"/>
    </row>
    <row r="115" spans="1:55">
      <c r="A115" s="21"/>
      <c r="B115" s="8"/>
      <c r="D115" s="8"/>
      <c r="AA115" s="8"/>
      <c r="AB115" s="38"/>
      <c r="AC115" s="12"/>
      <c r="AD115" s="12"/>
      <c r="AE115" s="12"/>
      <c r="AF115" s="12"/>
      <c r="AG115" s="12"/>
      <c r="AH115" s="12"/>
      <c r="AI115" s="12"/>
      <c r="AJ115" s="12"/>
      <c r="AK115" s="12"/>
      <c r="AL115" s="42"/>
      <c r="AM115" s="8"/>
      <c r="AN115" s="38"/>
      <c r="AO115" s="12"/>
      <c r="AP115" s="12"/>
      <c r="AQ115" s="12"/>
      <c r="AR115" s="12"/>
      <c r="AS115" s="12"/>
      <c r="AT115" s="12"/>
      <c r="AU115" s="12"/>
      <c r="AV115" s="12"/>
      <c r="AW115" s="42"/>
      <c r="AX115" s="8"/>
      <c r="AY115" s="38"/>
      <c r="AZ115" s="12"/>
      <c r="BA115" s="12"/>
      <c r="BB115" s="12"/>
      <c r="BC115" s="42"/>
    </row>
    <row r="116" spans="1:55">
      <c r="A116" s="21"/>
      <c r="B116" s="8"/>
      <c r="D116" s="8"/>
      <c r="AA116" s="8"/>
      <c r="AB116" s="38"/>
      <c r="AC116" s="12"/>
      <c r="AD116" s="12"/>
      <c r="AE116" s="12"/>
      <c r="AF116" s="12"/>
      <c r="AG116" s="12"/>
      <c r="AH116" s="12"/>
      <c r="AI116" s="12"/>
      <c r="AJ116" s="12"/>
      <c r="AK116" s="12"/>
      <c r="AL116" s="42"/>
      <c r="AM116" s="8"/>
      <c r="AN116" s="38"/>
      <c r="AO116" s="12"/>
      <c r="AP116" s="12"/>
      <c r="AQ116" s="12"/>
      <c r="AR116" s="12"/>
      <c r="AS116" s="12"/>
      <c r="AT116" s="12"/>
      <c r="AU116" s="12"/>
      <c r="AV116" s="12"/>
      <c r="AW116" s="42"/>
      <c r="AX116" s="8"/>
      <c r="AY116" s="38"/>
      <c r="AZ116" s="12"/>
      <c r="BA116" s="12"/>
      <c r="BB116" s="12"/>
      <c r="BC116" s="42"/>
    </row>
    <row r="117" spans="1:55">
      <c r="A117" s="21"/>
      <c r="B117" s="8"/>
      <c r="D117" s="8"/>
      <c r="AA117" s="8"/>
      <c r="AB117" s="38"/>
      <c r="AC117" s="12"/>
      <c r="AD117" s="12"/>
      <c r="AE117" s="12"/>
      <c r="AF117" s="12"/>
      <c r="AG117" s="12"/>
      <c r="AH117" s="12"/>
      <c r="AI117" s="12"/>
      <c r="AJ117" s="12"/>
      <c r="AK117" s="12"/>
      <c r="AL117" s="42"/>
      <c r="AM117" s="8"/>
      <c r="AN117" s="38"/>
      <c r="AO117" s="12"/>
      <c r="AP117" s="12"/>
      <c r="AQ117" s="12"/>
      <c r="AR117" s="12"/>
      <c r="AS117" s="12"/>
      <c r="AT117" s="12"/>
      <c r="AU117" s="12"/>
      <c r="AV117" s="12"/>
      <c r="AW117" s="42"/>
      <c r="AX117" s="8"/>
      <c r="AY117" s="38"/>
      <c r="AZ117" s="12"/>
      <c r="BA117" s="12"/>
      <c r="BB117" s="12"/>
      <c r="BC117" s="42"/>
    </row>
    <row r="118" spans="1:55">
      <c r="A118" s="21"/>
      <c r="B118" s="8"/>
      <c r="D118" s="8"/>
      <c r="AA118" s="8"/>
      <c r="AB118" s="38"/>
      <c r="AC118" s="12"/>
      <c r="AD118" s="12"/>
      <c r="AE118" s="12"/>
      <c r="AF118" s="12"/>
      <c r="AG118" s="12"/>
      <c r="AH118" s="12"/>
      <c r="AI118" s="12"/>
      <c r="AJ118" s="12"/>
      <c r="AK118" s="12"/>
      <c r="AL118" s="42"/>
      <c r="AM118" s="8"/>
      <c r="AN118" s="38"/>
      <c r="AO118" s="12"/>
      <c r="AP118" s="12"/>
      <c r="AQ118" s="12"/>
      <c r="AR118" s="12"/>
      <c r="AS118" s="12"/>
      <c r="AT118" s="12"/>
      <c r="AU118" s="12"/>
      <c r="AV118" s="12"/>
      <c r="AW118" s="42"/>
      <c r="AX118" s="8"/>
      <c r="AY118" s="38"/>
      <c r="AZ118" s="12"/>
      <c r="BA118" s="12"/>
      <c r="BB118" s="12"/>
      <c r="BC118" s="42"/>
    </row>
    <row r="119" spans="1:55">
      <c r="A119" s="21"/>
      <c r="B119" s="8"/>
      <c r="D119" s="8"/>
      <c r="AA119" s="8"/>
      <c r="AB119" s="38"/>
      <c r="AC119" s="12"/>
      <c r="AD119" s="12"/>
      <c r="AE119" s="12"/>
      <c r="AF119" s="12"/>
      <c r="AG119" s="12"/>
      <c r="AH119" s="12"/>
      <c r="AI119" s="12"/>
      <c r="AJ119" s="12"/>
      <c r="AK119" s="12"/>
      <c r="AL119" s="42"/>
      <c r="AM119" s="8"/>
      <c r="AN119" s="38"/>
      <c r="AO119" s="12"/>
      <c r="AP119" s="12"/>
      <c r="AQ119" s="12"/>
      <c r="AR119" s="12"/>
      <c r="AS119" s="12"/>
      <c r="AT119" s="12"/>
      <c r="AU119" s="12"/>
      <c r="AV119" s="12"/>
      <c r="AW119" s="42"/>
      <c r="AX119" s="8"/>
      <c r="AY119" s="38"/>
      <c r="AZ119" s="12"/>
      <c r="BA119" s="12"/>
      <c r="BB119" s="12"/>
      <c r="BC119" s="42"/>
    </row>
    <row r="120" spans="1:55">
      <c r="A120" s="21"/>
      <c r="B120" s="8"/>
      <c r="D120" s="8"/>
      <c r="AA120" s="8"/>
      <c r="AB120" s="38"/>
      <c r="AC120" s="12"/>
      <c r="AD120" s="12"/>
      <c r="AE120" s="12"/>
      <c r="AF120" s="12"/>
      <c r="AG120" s="12"/>
      <c r="AH120" s="12"/>
      <c r="AI120" s="12"/>
      <c r="AJ120" s="12"/>
      <c r="AK120" s="12"/>
      <c r="AL120" s="42"/>
      <c r="AM120" s="8"/>
      <c r="AN120" s="38"/>
      <c r="AO120" s="12"/>
      <c r="AP120" s="12"/>
      <c r="AQ120" s="12"/>
      <c r="AR120" s="12"/>
      <c r="AS120" s="12"/>
      <c r="AT120" s="12"/>
      <c r="AU120" s="12"/>
      <c r="AV120" s="12"/>
      <c r="AW120" s="42"/>
      <c r="AX120" s="8"/>
      <c r="AY120" s="38"/>
      <c r="AZ120" s="12"/>
      <c r="BA120" s="12"/>
      <c r="BB120" s="12"/>
      <c r="BC120" s="42"/>
    </row>
    <row r="121" spans="1:55">
      <c r="A121" s="21"/>
      <c r="B121" s="8"/>
      <c r="D121" s="8"/>
      <c r="AA121" s="8"/>
      <c r="AB121" s="38"/>
      <c r="AC121" s="12"/>
      <c r="AD121" s="12"/>
      <c r="AE121" s="12"/>
      <c r="AF121" s="12"/>
      <c r="AG121" s="12"/>
      <c r="AH121" s="12"/>
      <c r="AI121" s="12"/>
      <c r="AJ121" s="12"/>
      <c r="AK121" s="12"/>
      <c r="AL121" s="42"/>
      <c r="AM121" s="8"/>
      <c r="AN121" s="38"/>
      <c r="AO121" s="12"/>
      <c r="AP121" s="12"/>
      <c r="AQ121" s="12"/>
      <c r="AR121" s="12"/>
      <c r="AS121" s="12"/>
      <c r="AT121" s="12"/>
      <c r="AU121" s="12"/>
      <c r="AV121" s="12"/>
      <c r="AW121" s="42"/>
      <c r="AX121" s="8"/>
      <c r="AY121" s="38"/>
      <c r="AZ121" s="12"/>
      <c r="BA121" s="12"/>
      <c r="BB121" s="12"/>
      <c r="BC121" s="42"/>
    </row>
    <row r="122" spans="1:55">
      <c r="A122" s="21"/>
      <c r="B122" s="8"/>
      <c r="D122" s="8"/>
      <c r="AA122" s="8"/>
      <c r="AB122" s="38"/>
      <c r="AC122" s="12"/>
      <c r="AD122" s="12"/>
      <c r="AE122" s="12"/>
      <c r="AF122" s="12"/>
      <c r="AG122" s="12"/>
      <c r="AH122" s="12"/>
      <c r="AI122" s="12"/>
      <c r="AJ122" s="12"/>
      <c r="AK122" s="12"/>
      <c r="AL122" s="42"/>
      <c r="AM122" s="8"/>
      <c r="AN122" s="38"/>
      <c r="AO122" s="12"/>
      <c r="AP122" s="12"/>
      <c r="AQ122" s="12"/>
      <c r="AR122" s="12"/>
      <c r="AS122" s="12"/>
      <c r="AT122" s="12"/>
      <c r="AU122" s="12"/>
      <c r="AV122" s="12"/>
      <c r="AW122" s="42"/>
      <c r="AX122" s="8"/>
      <c r="AY122" s="38"/>
      <c r="AZ122" s="12"/>
      <c r="BA122" s="12"/>
      <c r="BB122" s="12"/>
      <c r="BC122" s="42"/>
    </row>
    <row r="123" spans="1:55">
      <c r="A123" s="21"/>
      <c r="B123" s="8"/>
      <c r="D123" s="8"/>
      <c r="AA123" s="8"/>
      <c r="AB123" s="38"/>
      <c r="AC123" s="12"/>
      <c r="AD123" s="12"/>
      <c r="AE123" s="12"/>
      <c r="AF123" s="12"/>
      <c r="AG123" s="12"/>
      <c r="AH123" s="12"/>
      <c r="AI123" s="12"/>
      <c r="AJ123" s="12"/>
      <c r="AK123" s="12"/>
      <c r="AL123" s="42"/>
      <c r="AM123" s="8"/>
      <c r="AN123" s="38"/>
      <c r="AO123" s="12"/>
      <c r="AP123" s="12"/>
      <c r="AQ123" s="12"/>
      <c r="AR123" s="12"/>
      <c r="AS123" s="12"/>
      <c r="AT123" s="12"/>
      <c r="AU123" s="12"/>
      <c r="AV123" s="12"/>
      <c r="AW123" s="42"/>
      <c r="AX123" s="8"/>
      <c r="AY123" s="38"/>
      <c r="AZ123" s="12"/>
      <c r="BA123" s="12"/>
      <c r="BB123" s="12"/>
      <c r="BC123" s="42"/>
    </row>
    <row r="124" spans="1:55">
      <c r="A124" s="21"/>
      <c r="B124" s="8"/>
      <c r="D124" s="8"/>
      <c r="AA124" s="8"/>
      <c r="AB124" s="38"/>
      <c r="AC124" s="12"/>
      <c r="AD124" s="12"/>
      <c r="AE124" s="12"/>
      <c r="AF124" s="12"/>
      <c r="AG124" s="12"/>
      <c r="AH124" s="12"/>
      <c r="AI124" s="12"/>
      <c r="AJ124" s="12"/>
      <c r="AK124" s="12"/>
      <c r="AL124" s="42"/>
      <c r="AM124" s="8"/>
      <c r="AN124" s="38"/>
      <c r="AO124" s="12"/>
      <c r="AP124" s="12"/>
      <c r="AQ124" s="12"/>
      <c r="AR124" s="12"/>
      <c r="AS124" s="12"/>
      <c r="AT124" s="12"/>
      <c r="AU124" s="12"/>
      <c r="AV124" s="12"/>
      <c r="AW124" s="42"/>
      <c r="AX124" s="8"/>
      <c r="AY124" s="38"/>
      <c r="AZ124" s="12"/>
      <c r="BA124" s="12"/>
      <c r="BB124" s="12"/>
      <c r="BC124" s="42"/>
    </row>
    <row r="125" spans="1:55">
      <c r="A125" s="21"/>
      <c r="B125" s="8"/>
      <c r="D125" s="8"/>
      <c r="AA125" s="8"/>
      <c r="AB125" s="38"/>
      <c r="AC125" s="12"/>
      <c r="AD125" s="12"/>
      <c r="AE125" s="12"/>
      <c r="AF125" s="12"/>
      <c r="AG125" s="12"/>
      <c r="AH125" s="12"/>
      <c r="AI125" s="12"/>
      <c r="AJ125" s="12"/>
      <c r="AK125" s="12"/>
      <c r="AL125" s="42"/>
      <c r="AM125" s="8"/>
      <c r="AN125" s="38"/>
      <c r="AO125" s="12"/>
      <c r="AP125" s="12"/>
      <c r="AQ125" s="12"/>
      <c r="AR125" s="12"/>
      <c r="AS125" s="12"/>
      <c r="AT125" s="12"/>
      <c r="AU125" s="12"/>
      <c r="AV125" s="12"/>
      <c r="AW125" s="42"/>
      <c r="AX125" s="8"/>
      <c r="AY125" s="38"/>
      <c r="AZ125" s="12"/>
      <c r="BA125" s="12"/>
      <c r="BB125" s="12"/>
      <c r="BC125" s="42"/>
    </row>
    <row r="126" spans="1:55">
      <c r="A126" s="21"/>
      <c r="B126" s="8"/>
      <c r="D126" s="8"/>
      <c r="AA126" s="8"/>
      <c r="AB126" s="38"/>
      <c r="AC126" s="12"/>
      <c r="AD126" s="12"/>
      <c r="AE126" s="12"/>
      <c r="AF126" s="12"/>
      <c r="AG126" s="12"/>
      <c r="AH126" s="12"/>
      <c r="AI126" s="12"/>
      <c r="AJ126" s="12"/>
      <c r="AK126" s="12"/>
      <c r="AL126" s="42"/>
      <c r="AM126" s="8"/>
      <c r="AN126" s="38"/>
      <c r="AO126" s="12"/>
      <c r="AP126" s="12"/>
      <c r="AQ126" s="12"/>
      <c r="AR126" s="12"/>
      <c r="AS126" s="12"/>
      <c r="AT126" s="12"/>
      <c r="AU126" s="12"/>
      <c r="AV126" s="12"/>
      <c r="AW126" s="42"/>
      <c r="AX126" s="8"/>
      <c r="AY126" s="38"/>
      <c r="AZ126" s="12"/>
      <c r="BA126" s="12"/>
      <c r="BB126" s="12"/>
      <c r="BC126" s="42"/>
    </row>
    <row r="127" spans="1:55">
      <c r="A127" s="21"/>
      <c r="B127" s="8"/>
      <c r="D127" s="8"/>
      <c r="AA127" s="8"/>
      <c r="AB127" s="38"/>
      <c r="AC127" s="12"/>
      <c r="AD127" s="12"/>
      <c r="AE127" s="12"/>
      <c r="AF127" s="12"/>
      <c r="AG127" s="12"/>
      <c r="AH127" s="12"/>
      <c r="AI127" s="12"/>
      <c r="AJ127" s="12"/>
      <c r="AK127" s="12"/>
      <c r="AL127" s="42"/>
      <c r="AM127" s="8"/>
      <c r="AN127" s="38"/>
      <c r="AO127" s="12"/>
      <c r="AP127" s="12"/>
      <c r="AQ127" s="12"/>
      <c r="AR127" s="12"/>
      <c r="AS127" s="12"/>
      <c r="AT127" s="12"/>
      <c r="AU127" s="12"/>
      <c r="AV127" s="12"/>
      <c r="AW127" s="42"/>
      <c r="AX127" s="8"/>
      <c r="AY127" s="38"/>
      <c r="AZ127" s="12"/>
      <c r="BA127" s="12"/>
      <c r="BB127" s="12"/>
      <c r="BC127" s="42"/>
    </row>
    <row r="128" spans="1:55">
      <c r="A128" s="21"/>
      <c r="B128" s="8"/>
      <c r="D128" s="8"/>
      <c r="AA128" s="8"/>
      <c r="AB128" s="38"/>
      <c r="AC128" s="12"/>
      <c r="AD128" s="12"/>
      <c r="AE128" s="12"/>
      <c r="AF128" s="12"/>
      <c r="AG128" s="12"/>
      <c r="AH128" s="12"/>
      <c r="AI128" s="12"/>
      <c r="AJ128" s="12"/>
      <c r="AK128" s="12"/>
      <c r="AL128" s="42"/>
      <c r="AM128" s="8"/>
      <c r="AN128" s="38"/>
      <c r="AO128" s="12"/>
      <c r="AP128" s="12"/>
      <c r="AQ128" s="12"/>
      <c r="AR128" s="12"/>
      <c r="AS128" s="12"/>
      <c r="AT128" s="12"/>
      <c r="AU128" s="12"/>
      <c r="AV128" s="12"/>
      <c r="AW128" s="42"/>
      <c r="AX128" s="8"/>
      <c r="AY128" s="38"/>
      <c r="AZ128" s="12"/>
      <c r="BA128" s="12"/>
      <c r="BB128" s="12"/>
      <c r="BC128" s="42"/>
    </row>
    <row r="129" spans="1:55">
      <c r="A129" s="21"/>
      <c r="B129" s="8"/>
      <c r="D129" s="8"/>
      <c r="AA129" s="8"/>
      <c r="AB129" s="38"/>
      <c r="AC129" s="12"/>
      <c r="AD129" s="12"/>
      <c r="AE129" s="12"/>
      <c r="AF129" s="12"/>
      <c r="AG129" s="12"/>
      <c r="AH129" s="12"/>
      <c r="AI129" s="12"/>
      <c r="AJ129" s="12"/>
      <c r="AK129" s="12"/>
      <c r="AL129" s="42"/>
      <c r="AM129" s="8"/>
      <c r="AN129" s="38"/>
      <c r="AO129" s="12"/>
      <c r="AP129" s="12"/>
      <c r="AQ129" s="12"/>
      <c r="AR129" s="12"/>
      <c r="AS129" s="12"/>
      <c r="AT129" s="12"/>
      <c r="AU129" s="12"/>
      <c r="AV129" s="12"/>
      <c r="AW129" s="42"/>
      <c r="AX129" s="8"/>
      <c r="AY129" s="38"/>
      <c r="AZ129" s="12"/>
      <c r="BA129" s="12"/>
      <c r="BB129" s="12"/>
      <c r="BC129" s="42"/>
    </row>
    <row r="130" spans="1:55">
      <c r="A130" s="21"/>
      <c r="B130" s="8"/>
      <c r="D130" s="8"/>
      <c r="AA130" s="8"/>
      <c r="AB130" s="38"/>
      <c r="AC130" s="12"/>
      <c r="AD130" s="12"/>
      <c r="AE130" s="12"/>
      <c r="AF130" s="12"/>
      <c r="AG130" s="12"/>
      <c r="AH130" s="12"/>
      <c r="AI130" s="12"/>
      <c r="AJ130" s="12"/>
      <c r="AK130" s="12"/>
      <c r="AL130" s="42"/>
      <c r="AM130" s="8"/>
      <c r="AN130" s="38"/>
      <c r="AO130" s="12"/>
      <c r="AP130" s="12"/>
      <c r="AQ130" s="12"/>
      <c r="AR130" s="12"/>
      <c r="AS130" s="12"/>
      <c r="AT130" s="12"/>
      <c r="AU130" s="12"/>
      <c r="AV130" s="12"/>
      <c r="AW130" s="42"/>
      <c r="AX130" s="8"/>
      <c r="AY130" s="38"/>
      <c r="AZ130" s="12"/>
      <c r="BA130" s="12"/>
      <c r="BB130" s="12"/>
      <c r="BC130" s="42"/>
    </row>
    <row r="131" spans="1:55">
      <c r="A131" s="21"/>
      <c r="B131" s="8"/>
      <c r="D131" s="8"/>
      <c r="AA131" s="8"/>
      <c r="AB131" s="38"/>
      <c r="AC131" s="12"/>
      <c r="AD131" s="12"/>
      <c r="AE131" s="12"/>
      <c r="AF131" s="12"/>
      <c r="AG131" s="12"/>
      <c r="AH131" s="12"/>
      <c r="AI131" s="12"/>
      <c r="AJ131" s="12"/>
      <c r="AK131" s="12"/>
      <c r="AL131" s="42"/>
      <c r="AM131" s="8"/>
      <c r="AN131" s="38"/>
      <c r="AO131" s="12"/>
      <c r="AP131" s="12"/>
      <c r="AQ131" s="12"/>
      <c r="AR131" s="12"/>
      <c r="AS131" s="12"/>
      <c r="AT131" s="12"/>
      <c r="AU131" s="12"/>
      <c r="AV131" s="12"/>
      <c r="AW131" s="42"/>
      <c r="AX131" s="8"/>
      <c r="AY131" s="38"/>
      <c r="AZ131" s="12"/>
      <c r="BA131" s="12"/>
      <c r="BB131" s="12"/>
      <c r="BC131" s="42"/>
    </row>
    <row r="132" spans="1:55">
      <c r="A132" s="21"/>
      <c r="B132" s="8"/>
      <c r="D132" s="8"/>
      <c r="AA132" s="8"/>
      <c r="AB132" s="38"/>
      <c r="AC132" s="12"/>
      <c r="AD132" s="12"/>
      <c r="AE132" s="12"/>
      <c r="AF132" s="12"/>
      <c r="AG132" s="12"/>
      <c r="AH132" s="12"/>
      <c r="AI132" s="12"/>
      <c r="AJ132" s="12"/>
      <c r="AK132" s="12"/>
      <c r="AL132" s="42"/>
      <c r="AM132" s="8"/>
      <c r="AN132" s="38"/>
      <c r="AO132" s="12"/>
      <c r="AP132" s="12"/>
      <c r="AQ132" s="12"/>
      <c r="AR132" s="12"/>
      <c r="AS132" s="12"/>
      <c r="AT132" s="12"/>
      <c r="AU132" s="12"/>
      <c r="AV132" s="12"/>
      <c r="AW132" s="42"/>
      <c r="AX132" s="8"/>
      <c r="AY132" s="38"/>
      <c r="AZ132" s="12"/>
      <c r="BA132" s="12"/>
      <c r="BB132" s="12"/>
      <c r="BC132" s="42"/>
    </row>
    <row r="133" spans="1:55">
      <c r="A133" s="21"/>
      <c r="B133" s="8"/>
      <c r="D133" s="8"/>
      <c r="AA133" s="8"/>
      <c r="AB133" s="38"/>
      <c r="AC133" s="12"/>
      <c r="AD133" s="12"/>
      <c r="AE133" s="12"/>
      <c r="AF133" s="12"/>
      <c r="AG133" s="12"/>
      <c r="AH133" s="12"/>
      <c r="AI133" s="12"/>
      <c r="AJ133" s="12"/>
      <c r="AK133" s="12"/>
      <c r="AL133" s="42"/>
      <c r="AM133" s="8"/>
      <c r="AN133" s="38"/>
      <c r="AO133" s="12"/>
      <c r="AP133" s="12"/>
      <c r="AQ133" s="12"/>
      <c r="AR133" s="12"/>
      <c r="AS133" s="12"/>
      <c r="AT133" s="12"/>
      <c r="AU133" s="12"/>
      <c r="AV133" s="12"/>
      <c r="AW133" s="42"/>
      <c r="AX133" s="8"/>
      <c r="AY133" s="38"/>
      <c r="AZ133" s="12"/>
      <c r="BA133" s="12"/>
      <c r="BB133" s="12"/>
      <c r="BC133" s="42"/>
    </row>
    <row r="134" spans="1:55">
      <c r="A134" s="21"/>
      <c r="B134" s="8"/>
      <c r="D134" s="8"/>
      <c r="AA134" s="8"/>
      <c r="AB134" s="38"/>
      <c r="AC134" s="12"/>
      <c r="AD134" s="12"/>
      <c r="AE134" s="12"/>
      <c r="AF134" s="12"/>
      <c r="AG134" s="12"/>
      <c r="AH134" s="12"/>
      <c r="AI134" s="12"/>
      <c r="AJ134" s="12"/>
      <c r="AK134" s="12"/>
      <c r="AL134" s="42"/>
      <c r="AM134" s="8"/>
      <c r="AN134" s="38"/>
      <c r="AO134" s="12"/>
      <c r="AP134" s="12"/>
      <c r="AQ134" s="12"/>
      <c r="AR134" s="12"/>
      <c r="AS134" s="12"/>
      <c r="AT134" s="12"/>
      <c r="AU134" s="12"/>
      <c r="AV134" s="12"/>
      <c r="AW134" s="42"/>
      <c r="AX134" s="8"/>
      <c r="AY134" s="38"/>
      <c r="AZ134" s="12"/>
      <c r="BA134" s="12"/>
      <c r="BB134" s="12"/>
      <c r="BC134" s="42"/>
    </row>
    <row r="135" spans="1:55">
      <c r="A135" s="21"/>
      <c r="B135" s="8"/>
      <c r="D135" s="8"/>
      <c r="AA135" s="8"/>
      <c r="AB135" s="38"/>
      <c r="AC135" s="12"/>
      <c r="AD135" s="12"/>
      <c r="AE135" s="12"/>
      <c r="AF135" s="12"/>
      <c r="AG135" s="12"/>
      <c r="AH135" s="12"/>
      <c r="AI135" s="12"/>
      <c r="AJ135" s="12"/>
      <c r="AK135" s="12"/>
      <c r="AL135" s="42"/>
      <c r="AM135" s="8"/>
      <c r="AN135" s="38"/>
      <c r="AO135" s="12"/>
      <c r="AP135" s="12"/>
      <c r="AQ135" s="12"/>
      <c r="AR135" s="12"/>
      <c r="AS135" s="12"/>
      <c r="AT135" s="12"/>
      <c r="AU135" s="12"/>
      <c r="AV135" s="12"/>
      <c r="AW135" s="42"/>
      <c r="AX135" s="8"/>
      <c r="AY135" s="38"/>
      <c r="AZ135" s="12"/>
      <c r="BA135" s="12"/>
      <c r="BB135" s="12"/>
      <c r="BC135" s="42"/>
    </row>
    <row r="136" spans="1:55">
      <c r="A136" s="21"/>
      <c r="B136" s="8"/>
      <c r="D136" s="8"/>
      <c r="AA136" s="8"/>
      <c r="AB136" s="38"/>
      <c r="AC136" s="12"/>
      <c r="AD136" s="12"/>
      <c r="AE136" s="12"/>
      <c r="AF136" s="12"/>
      <c r="AG136" s="12"/>
      <c r="AH136" s="12"/>
      <c r="AI136" s="12"/>
      <c r="AJ136" s="12"/>
      <c r="AK136" s="12"/>
      <c r="AL136" s="42"/>
      <c r="AM136" s="8"/>
      <c r="AN136" s="38"/>
      <c r="AO136" s="12"/>
      <c r="AP136" s="12"/>
      <c r="AQ136" s="12"/>
      <c r="AR136" s="12"/>
      <c r="AS136" s="12"/>
      <c r="AT136" s="12"/>
      <c r="AU136" s="12"/>
      <c r="AV136" s="12"/>
      <c r="AW136" s="42"/>
      <c r="AX136" s="8"/>
      <c r="AY136" s="38"/>
      <c r="AZ136" s="12"/>
      <c r="BA136" s="12"/>
      <c r="BB136" s="12"/>
      <c r="BC136" s="42"/>
    </row>
    <row r="137" spans="1:55">
      <c r="A137" s="21"/>
      <c r="B137" s="8"/>
      <c r="D137" s="8"/>
      <c r="AA137" s="8"/>
      <c r="AB137" s="38"/>
      <c r="AC137" s="12"/>
      <c r="AD137" s="12"/>
      <c r="AE137" s="12"/>
      <c r="AF137" s="12"/>
      <c r="AG137" s="12"/>
      <c r="AH137" s="12"/>
      <c r="AI137" s="12"/>
      <c r="AJ137" s="12"/>
      <c r="AK137" s="12"/>
      <c r="AL137" s="42"/>
      <c r="AM137" s="8"/>
      <c r="AN137" s="38"/>
      <c r="AO137" s="12"/>
      <c r="AP137" s="12"/>
      <c r="AQ137" s="12"/>
      <c r="AR137" s="12"/>
      <c r="AS137" s="12"/>
      <c r="AT137" s="12"/>
      <c r="AU137" s="12"/>
      <c r="AV137" s="12"/>
      <c r="AW137" s="42"/>
      <c r="AX137" s="8"/>
      <c r="AY137" s="38"/>
      <c r="AZ137" s="12"/>
      <c r="BA137" s="12"/>
      <c r="BB137" s="12"/>
      <c r="BC137" s="42"/>
    </row>
    <row r="138" spans="1:55">
      <c r="A138" s="21"/>
      <c r="B138" s="8"/>
      <c r="D138" s="8"/>
      <c r="AA138" s="8"/>
      <c r="AB138" s="38"/>
      <c r="AC138" s="12"/>
      <c r="AD138" s="12"/>
      <c r="AE138" s="12"/>
      <c r="AF138" s="12"/>
      <c r="AG138" s="12"/>
      <c r="AH138" s="12"/>
      <c r="AI138" s="12"/>
      <c r="AJ138" s="12"/>
      <c r="AK138" s="12"/>
      <c r="AL138" s="42"/>
      <c r="AM138" s="8"/>
      <c r="AN138" s="38"/>
      <c r="AO138" s="12"/>
      <c r="AP138" s="12"/>
      <c r="AQ138" s="12"/>
      <c r="AR138" s="12"/>
      <c r="AS138" s="12"/>
      <c r="AT138" s="12"/>
      <c r="AU138" s="12"/>
      <c r="AV138" s="12"/>
      <c r="AW138" s="42"/>
      <c r="AX138" s="8"/>
      <c r="AY138" s="38"/>
      <c r="AZ138" s="12"/>
      <c r="BA138" s="12"/>
      <c r="BB138" s="12"/>
      <c r="BC138" s="42"/>
    </row>
    <row r="139" spans="1:55">
      <c r="A139" s="21"/>
      <c r="B139" s="8"/>
      <c r="D139" s="8"/>
      <c r="AA139" s="8"/>
      <c r="AB139" s="38"/>
      <c r="AC139" s="12"/>
      <c r="AD139" s="12"/>
      <c r="AE139" s="12"/>
      <c r="AF139" s="12"/>
      <c r="AG139" s="12"/>
      <c r="AH139" s="12"/>
      <c r="AI139" s="12"/>
      <c r="AJ139" s="12"/>
      <c r="AK139" s="12"/>
      <c r="AL139" s="42"/>
      <c r="AM139" s="8"/>
      <c r="AN139" s="38"/>
      <c r="AO139" s="12"/>
      <c r="AP139" s="12"/>
      <c r="AQ139" s="12"/>
      <c r="AR139" s="12"/>
      <c r="AS139" s="12"/>
      <c r="AT139" s="12"/>
      <c r="AU139" s="12"/>
      <c r="AV139" s="12"/>
      <c r="AW139" s="42"/>
      <c r="AX139" s="8"/>
      <c r="AY139" s="38"/>
      <c r="AZ139" s="12"/>
      <c r="BA139" s="12"/>
      <c r="BB139" s="12"/>
      <c r="BC139" s="42"/>
    </row>
    <row r="140" spans="1:55">
      <c r="A140" s="21"/>
      <c r="B140" s="8"/>
      <c r="D140" s="8"/>
      <c r="AA140" s="8"/>
      <c r="AB140" s="38"/>
      <c r="AC140" s="12"/>
      <c r="AD140" s="12"/>
      <c r="AE140" s="12"/>
      <c r="AF140" s="12"/>
      <c r="AG140" s="12"/>
      <c r="AH140" s="12"/>
      <c r="AI140" s="12"/>
      <c r="AJ140" s="12"/>
      <c r="AK140" s="12"/>
      <c r="AL140" s="42"/>
      <c r="AM140" s="8"/>
      <c r="AN140" s="38"/>
      <c r="AO140" s="12"/>
      <c r="AP140" s="12"/>
      <c r="AQ140" s="12"/>
      <c r="AR140" s="12"/>
      <c r="AS140" s="12"/>
      <c r="AT140" s="12"/>
      <c r="AU140" s="12"/>
      <c r="AV140" s="12"/>
      <c r="AW140" s="42"/>
      <c r="AX140" s="8"/>
      <c r="AY140" s="38"/>
      <c r="AZ140" s="12"/>
      <c r="BA140" s="12"/>
      <c r="BB140" s="12"/>
      <c r="BC140" s="42"/>
    </row>
    <row r="141" spans="1:55">
      <c r="A141" s="21"/>
      <c r="B141" s="8"/>
      <c r="D141" s="8"/>
      <c r="AA141" s="8"/>
      <c r="AB141" s="38"/>
      <c r="AC141" s="12"/>
      <c r="AD141" s="12"/>
      <c r="AE141" s="12"/>
      <c r="AF141" s="12"/>
      <c r="AG141" s="12"/>
      <c r="AH141" s="12"/>
      <c r="AI141" s="12"/>
      <c r="AJ141" s="12"/>
      <c r="AK141" s="12"/>
      <c r="AL141" s="42"/>
      <c r="AM141" s="8"/>
      <c r="AN141" s="38"/>
      <c r="AO141" s="12"/>
      <c r="AP141" s="12"/>
      <c r="AQ141" s="12"/>
      <c r="AR141" s="12"/>
      <c r="AS141" s="12"/>
      <c r="AT141" s="12"/>
      <c r="AU141" s="12"/>
      <c r="AV141" s="12"/>
      <c r="AW141" s="42"/>
      <c r="AX141" s="8"/>
      <c r="AY141" s="38"/>
      <c r="AZ141" s="12"/>
      <c r="BA141" s="12"/>
      <c r="BB141" s="12"/>
      <c r="BC141" s="42"/>
    </row>
    <row r="142" spans="1:55">
      <c r="A142" s="21"/>
      <c r="B142" s="8"/>
      <c r="D142" s="8"/>
      <c r="AA142" s="8"/>
      <c r="AB142" s="38"/>
      <c r="AC142" s="12"/>
      <c r="AD142" s="12"/>
      <c r="AE142" s="12"/>
      <c r="AF142" s="12"/>
      <c r="AG142" s="12"/>
      <c r="AH142" s="12"/>
      <c r="AI142" s="12"/>
      <c r="AJ142" s="12"/>
      <c r="AK142" s="12"/>
      <c r="AL142" s="42"/>
      <c r="AM142" s="8"/>
      <c r="AN142" s="38"/>
      <c r="AO142" s="12"/>
      <c r="AP142" s="12"/>
      <c r="AQ142" s="12"/>
      <c r="AR142" s="12"/>
      <c r="AS142" s="12"/>
      <c r="AT142" s="12"/>
      <c r="AU142" s="12"/>
      <c r="AV142" s="12"/>
      <c r="AW142" s="42"/>
      <c r="AX142" s="8"/>
      <c r="AY142" s="38"/>
      <c r="AZ142" s="12"/>
      <c r="BA142" s="12"/>
      <c r="BB142" s="12"/>
      <c r="BC142" s="42"/>
    </row>
    <row r="143" spans="1:55">
      <c r="A143" s="21"/>
      <c r="B143" s="8"/>
      <c r="D143" s="8"/>
      <c r="AA143" s="8"/>
      <c r="AB143" s="38"/>
      <c r="AC143" s="12"/>
      <c r="AD143" s="12"/>
      <c r="AE143" s="12"/>
      <c r="AF143" s="12"/>
      <c r="AG143" s="12"/>
      <c r="AH143" s="12"/>
      <c r="AI143" s="12"/>
      <c r="AJ143" s="12"/>
      <c r="AK143" s="12"/>
      <c r="AL143" s="42"/>
      <c r="AM143" s="8"/>
      <c r="AN143" s="38"/>
      <c r="AO143" s="12"/>
      <c r="AP143" s="12"/>
      <c r="AQ143" s="12"/>
      <c r="AR143" s="12"/>
      <c r="AS143" s="12"/>
      <c r="AT143" s="12"/>
      <c r="AU143" s="12"/>
      <c r="AV143" s="12"/>
      <c r="AW143" s="42"/>
      <c r="AX143" s="8"/>
      <c r="AY143" s="38"/>
      <c r="AZ143" s="12"/>
      <c r="BA143" s="12"/>
      <c r="BB143" s="12"/>
      <c r="BC143" s="42"/>
    </row>
    <row r="144" spans="1:55">
      <c r="A144" s="21"/>
      <c r="B144" s="8"/>
      <c r="D144" s="8"/>
      <c r="AA144" s="8"/>
      <c r="AB144" s="38"/>
      <c r="AC144" s="12"/>
      <c r="AD144" s="12"/>
      <c r="AE144" s="12"/>
      <c r="AF144" s="12"/>
      <c r="AG144" s="12"/>
      <c r="AH144" s="12"/>
      <c r="AI144" s="12"/>
      <c r="AJ144" s="12"/>
      <c r="AK144" s="12"/>
      <c r="AL144" s="42"/>
      <c r="AM144" s="8"/>
      <c r="AN144" s="38"/>
      <c r="AO144" s="12"/>
      <c r="AP144" s="12"/>
      <c r="AQ144" s="12"/>
      <c r="AR144" s="12"/>
      <c r="AS144" s="12"/>
      <c r="AT144" s="12"/>
      <c r="AU144" s="12"/>
      <c r="AV144" s="12"/>
      <c r="AW144" s="42"/>
      <c r="AX144" s="8"/>
      <c r="AY144" s="38"/>
      <c r="AZ144" s="12"/>
      <c r="BA144" s="12"/>
      <c r="BB144" s="12"/>
      <c r="BC144" s="42"/>
    </row>
    <row r="145" spans="1:55">
      <c r="A145" s="21"/>
      <c r="B145" s="8"/>
      <c r="D145" s="8"/>
      <c r="AA145" s="8"/>
      <c r="AB145" s="38"/>
      <c r="AC145" s="12"/>
      <c r="AD145" s="12"/>
      <c r="AE145" s="12"/>
      <c r="AF145" s="12"/>
      <c r="AG145" s="12"/>
      <c r="AH145" s="12"/>
      <c r="AI145" s="12"/>
      <c r="AJ145" s="12"/>
      <c r="AK145" s="12"/>
      <c r="AL145" s="42"/>
      <c r="AM145" s="8"/>
      <c r="AN145" s="38"/>
      <c r="AO145" s="12"/>
      <c r="AP145" s="12"/>
      <c r="AQ145" s="12"/>
      <c r="AR145" s="12"/>
      <c r="AS145" s="12"/>
      <c r="AT145" s="12"/>
      <c r="AU145" s="12"/>
      <c r="AV145" s="12"/>
      <c r="AW145" s="42"/>
      <c r="AX145" s="8"/>
      <c r="AY145" s="38"/>
      <c r="AZ145" s="12"/>
      <c r="BA145" s="12"/>
      <c r="BB145" s="12"/>
      <c r="BC145" s="42"/>
    </row>
    <row r="146" spans="1:55">
      <c r="A146" s="21"/>
      <c r="B146" s="8"/>
      <c r="D146" s="8"/>
      <c r="AA146" s="8"/>
      <c r="AB146" s="38"/>
      <c r="AC146" s="12"/>
      <c r="AD146" s="12"/>
      <c r="AE146" s="12"/>
      <c r="AF146" s="12"/>
      <c r="AG146" s="12"/>
      <c r="AH146" s="12"/>
      <c r="AI146" s="12"/>
      <c r="AJ146" s="12"/>
      <c r="AK146" s="12"/>
      <c r="AL146" s="42"/>
      <c r="AM146" s="8"/>
      <c r="AN146" s="38"/>
      <c r="AO146" s="12"/>
      <c r="AP146" s="12"/>
      <c r="AQ146" s="12"/>
      <c r="AR146" s="12"/>
      <c r="AS146" s="12"/>
      <c r="AT146" s="12"/>
      <c r="AU146" s="12"/>
      <c r="AV146" s="12"/>
      <c r="AW146" s="42"/>
      <c r="AX146" s="8"/>
      <c r="AY146" s="38"/>
      <c r="AZ146" s="12"/>
      <c r="BA146" s="12"/>
      <c r="BB146" s="12"/>
      <c r="BC146" s="42"/>
    </row>
    <row r="147" spans="1:55">
      <c r="A147" s="21"/>
      <c r="B147" s="8"/>
      <c r="D147" s="8"/>
      <c r="AA147" s="8"/>
      <c r="AB147" s="38"/>
      <c r="AC147" s="12"/>
      <c r="AD147" s="12"/>
      <c r="AE147" s="12"/>
      <c r="AF147" s="12"/>
      <c r="AG147" s="12"/>
      <c r="AH147" s="12"/>
      <c r="AI147" s="12"/>
      <c r="AJ147" s="12"/>
      <c r="AK147" s="12"/>
      <c r="AL147" s="42"/>
      <c r="AM147" s="8"/>
      <c r="AN147" s="38"/>
      <c r="AO147" s="12"/>
      <c r="AP147" s="12"/>
      <c r="AQ147" s="12"/>
      <c r="AR147" s="12"/>
      <c r="AS147" s="12"/>
      <c r="AT147" s="12"/>
      <c r="AU147" s="12"/>
      <c r="AV147" s="12"/>
      <c r="AW147" s="42"/>
      <c r="AX147" s="8"/>
      <c r="AY147" s="38"/>
      <c r="AZ147" s="12"/>
      <c r="BA147" s="12"/>
      <c r="BB147" s="12"/>
      <c r="BC147" s="42"/>
    </row>
    <row r="148" spans="1:55">
      <c r="A148" s="21"/>
      <c r="B148" s="8"/>
      <c r="D148" s="8"/>
      <c r="AA148" s="8"/>
      <c r="AB148" s="38"/>
      <c r="AC148" s="12"/>
      <c r="AD148" s="12"/>
      <c r="AE148" s="12"/>
      <c r="AF148" s="12"/>
      <c r="AG148" s="12"/>
      <c r="AH148" s="12"/>
      <c r="AI148" s="12"/>
      <c r="AJ148" s="12"/>
      <c r="AK148" s="12"/>
      <c r="AL148" s="42"/>
      <c r="AM148" s="8"/>
      <c r="AN148" s="38"/>
      <c r="AO148" s="12"/>
      <c r="AP148" s="12"/>
      <c r="AQ148" s="12"/>
      <c r="AR148" s="12"/>
      <c r="AS148" s="12"/>
      <c r="AT148" s="12"/>
      <c r="AU148" s="12"/>
      <c r="AV148" s="12"/>
      <c r="AW148" s="42"/>
      <c r="AX148" s="8"/>
      <c r="AY148" s="38"/>
      <c r="AZ148" s="12"/>
      <c r="BA148" s="12"/>
      <c r="BB148" s="12"/>
      <c r="BC148" s="42"/>
    </row>
    <row r="149" spans="1:55">
      <c r="A149" s="21"/>
      <c r="B149" s="8"/>
      <c r="D149" s="8"/>
      <c r="AA149" s="8"/>
      <c r="AB149" s="38"/>
      <c r="AC149" s="12"/>
      <c r="AD149" s="12"/>
      <c r="AE149" s="12"/>
      <c r="AF149" s="12"/>
      <c r="AG149" s="12"/>
      <c r="AH149" s="12"/>
      <c r="AI149" s="12"/>
      <c r="AJ149" s="12"/>
      <c r="AK149" s="12"/>
      <c r="AL149" s="42"/>
      <c r="AM149" s="8"/>
      <c r="AN149" s="38"/>
      <c r="AO149" s="12"/>
      <c r="AP149" s="12"/>
      <c r="AQ149" s="12"/>
      <c r="AR149" s="12"/>
      <c r="AS149" s="12"/>
      <c r="AT149" s="12"/>
      <c r="AU149" s="12"/>
      <c r="AV149" s="12"/>
      <c r="AW149" s="42"/>
      <c r="AX149" s="8"/>
      <c r="AY149" s="38"/>
      <c r="AZ149" s="12"/>
      <c r="BA149" s="12"/>
      <c r="BB149" s="12"/>
      <c r="BC149" s="42"/>
    </row>
    <row r="150" spans="1:55">
      <c r="A150" s="21"/>
      <c r="B150" s="8"/>
      <c r="D150" s="8"/>
      <c r="AA150" s="8"/>
      <c r="AB150" s="38"/>
      <c r="AC150" s="12"/>
      <c r="AD150" s="12"/>
      <c r="AE150" s="12"/>
      <c r="AF150" s="12"/>
      <c r="AG150" s="12"/>
      <c r="AH150" s="12"/>
      <c r="AI150" s="12"/>
      <c r="AJ150" s="12"/>
      <c r="AK150" s="12"/>
      <c r="AL150" s="42"/>
      <c r="AM150" s="8"/>
      <c r="AN150" s="38"/>
      <c r="AO150" s="12"/>
      <c r="AP150" s="12"/>
      <c r="AQ150" s="12"/>
      <c r="AR150" s="12"/>
      <c r="AS150" s="12"/>
      <c r="AT150" s="12"/>
      <c r="AU150" s="12"/>
      <c r="AV150" s="12"/>
      <c r="AW150" s="42"/>
      <c r="AX150" s="8"/>
      <c r="AY150" s="38"/>
      <c r="AZ150" s="12"/>
      <c r="BA150" s="12"/>
      <c r="BB150" s="12"/>
      <c r="BC150" s="42"/>
    </row>
    <row r="151" spans="1:55">
      <c r="A151" s="21"/>
      <c r="B151" s="8"/>
      <c r="D151" s="8"/>
      <c r="AA151" s="8"/>
      <c r="AB151" s="38"/>
      <c r="AC151" s="12"/>
      <c r="AD151" s="12"/>
      <c r="AE151" s="12"/>
      <c r="AF151" s="12"/>
      <c r="AG151" s="12"/>
      <c r="AH151" s="12"/>
      <c r="AI151" s="12"/>
      <c r="AJ151" s="12"/>
      <c r="AK151" s="12"/>
      <c r="AL151" s="42"/>
      <c r="AM151" s="8"/>
      <c r="AN151" s="38"/>
      <c r="AO151" s="12"/>
      <c r="AP151" s="12"/>
      <c r="AQ151" s="12"/>
      <c r="AR151" s="12"/>
      <c r="AS151" s="12"/>
      <c r="AT151" s="12"/>
      <c r="AU151" s="12"/>
      <c r="AV151" s="12"/>
      <c r="AW151" s="42"/>
      <c r="AX151" s="8"/>
      <c r="AY151" s="38"/>
      <c r="AZ151" s="12"/>
      <c r="BA151" s="12"/>
      <c r="BB151" s="12"/>
      <c r="BC151" s="42"/>
    </row>
    <row r="152" spans="1:55">
      <c r="A152" s="21"/>
      <c r="B152" s="8"/>
      <c r="D152" s="8"/>
      <c r="AA152" s="8"/>
      <c r="AB152" s="38"/>
      <c r="AC152" s="12"/>
      <c r="AD152" s="12"/>
      <c r="AE152" s="12"/>
      <c r="AF152" s="12"/>
      <c r="AG152" s="12"/>
      <c r="AH152" s="12"/>
      <c r="AI152" s="12"/>
      <c r="AJ152" s="12"/>
      <c r="AK152" s="12"/>
      <c r="AL152" s="42"/>
      <c r="AM152" s="8"/>
      <c r="AN152" s="38"/>
      <c r="AO152" s="12"/>
      <c r="AP152" s="12"/>
      <c r="AQ152" s="12"/>
      <c r="AR152" s="12"/>
      <c r="AS152" s="12"/>
      <c r="AT152" s="12"/>
      <c r="AU152" s="12"/>
      <c r="AV152" s="12"/>
      <c r="AW152" s="42"/>
      <c r="AX152" s="8"/>
      <c r="AY152" s="38"/>
      <c r="AZ152" s="12"/>
      <c r="BA152" s="12"/>
      <c r="BB152" s="12"/>
      <c r="BC152" s="42"/>
    </row>
    <row r="153" spans="1:55">
      <c r="A153" s="21"/>
      <c r="B153" s="8"/>
      <c r="D153" s="8"/>
      <c r="AA153" s="8"/>
      <c r="AB153" s="38"/>
      <c r="AC153" s="12"/>
      <c r="AD153" s="12"/>
      <c r="AE153" s="12"/>
      <c r="AF153" s="12"/>
      <c r="AG153" s="12"/>
      <c r="AH153" s="12"/>
      <c r="AI153" s="12"/>
      <c r="AJ153" s="12"/>
      <c r="AK153" s="12"/>
      <c r="AL153" s="42"/>
      <c r="AM153" s="8"/>
      <c r="AN153" s="38"/>
      <c r="AO153" s="12"/>
      <c r="AP153" s="12"/>
      <c r="AQ153" s="12"/>
      <c r="AR153" s="12"/>
      <c r="AS153" s="12"/>
      <c r="AT153" s="12"/>
      <c r="AU153" s="12"/>
      <c r="AV153" s="12"/>
      <c r="AW153" s="42"/>
      <c r="AX153" s="8"/>
      <c r="AY153" s="38"/>
      <c r="AZ153" s="12"/>
      <c r="BA153" s="12"/>
      <c r="BB153" s="12"/>
      <c r="BC153" s="42"/>
    </row>
    <row r="154" spans="1:55">
      <c r="A154" s="21"/>
      <c r="B154" s="8"/>
      <c r="D154" s="8"/>
      <c r="AA154" s="8"/>
      <c r="AB154" s="38"/>
      <c r="AC154" s="12"/>
      <c r="AD154" s="12"/>
      <c r="AE154" s="12"/>
      <c r="AF154" s="12"/>
      <c r="AG154" s="12"/>
      <c r="AH154" s="12"/>
      <c r="AI154" s="12"/>
      <c r="AJ154" s="12"/>
      <c r="AK154" s="12"/>
      <c r="AL154" s="42"/>
      <c r="AM154" s="8"/>
      <c r="AN154" s="38"/>
      <c r="AO154" s="12"/>
      <c r="AP154" s="12"/>
      <c r="AQ154" s="12"/>
      <c r="AR154" s="12"/>
      <c r="AS154" s="12"/>
      <c r="AT154" s="12"/>
      <c r="AU154" s="12"/>
      <c r="AV154" s="12"/>
      <c r="AW154" s="42"/>
      <c r="AX154" s="8"/>
      <c r="AY154" s="38"/>
      <c r="AZ154" s="12"/>
      <c r="BA154" s="12"/>
      <c r="BB154" s="12"/>
      <c r="BC154" s="42"/>
    </row>
    <row r="155" spans="1:55">
      <c r="A155" s="21"/>
      <c r="B155" s="8"/>
      <c r="D155" s="8"/>
      <c r="AA155" s="8"/>
      <c r="AB155" s="38"/>
      <c r="AC155" s="12"/>
      <c r="AD155" s="12"/>
      <c r="AE155" s="12"/>
      <c r="AF155" s="12"/>
      <c r="AG155" s="12"/>
      <c r="AH155" s="12"/>
      <c r="AI155" s="12"/>
      <c r="AJ155" s="12"/>
      <c r="AK155" s="12"/>
      <c r="AL155" s="42"/>
      <c r="AM155" s="8"/>
      <c r="AN155" s="38"/>
      <c r="AO155" s="12"/>
      <c r="AP155" s="12"/>
      <c r="AQ155" s="12"/>
      <c r="AR155" s="12"/>
      <c r="AS155" s="12"/>
      <c r="AT155" s="12"/>
      <c r="AU155" s="12"/>
      <c r="AV155" s="12"/>
      <c r="AW155" s="42"/>
      <c r="AX155" s="8"/>
      <c r="AY155" s="38"/>
      <c r="AZ155" s="12"/>
      <c r="BA155" s="12"/>
      <c r="BB155" s="12"/>
      <c r="BC155" s="42"/>
    </row>
    <row r="156" spans="1:55">
      <c r="A156" s="21"/>
      <c r="B156" s="8"/>
      <c r="D156" s="8"/>
      <c r="AA156" s="8"/>
      <c r="AB156" s="38"/>
      <c r="AC156" s="12"/>
      <c r="AD156" s="12"/>
      <c r="AE156" s="12"/>
      <c r="AF156" s="12"/>
      <c r="AG156" s="12"/>
      <c r="AH156" s="12"/>
      <c r="AI156" s="12"/>
      <c r="AJ156" s="12"/>
      <c r="AK156" s="12"/>
      <c r="AL156" s="42"/>
      <c r="AM156" s="8"/>
      <c r="AN156" s="38"/>
      <c r="AO156" s="12"/>
      <c r="AP156" s="12"/>
      <c r="AQ156" s="12"/>
      <c r="AR156" s="12"/>
      <c r="AS156" s="12"/>
      <c r="AT156" s="12"/>
      <c r="AU156" s="12"/>
      <c r="AV156" s="12"/>
      <c r="AW156" s="42"/>
      <c r="AX156" s="8"/>
      <c r="AY156" s="38"/>
      <c r="AZ156" s="12"/>
      <c r="BA156" s="12"/>
      <c r="BB156" s="12"/>
      <c r="BC156" s="42"/>
    </row>
    <row r="157" spans="1:55">
      <c r="A157" s="21"/>
      <c r="B157" s="8"/>
      <c r="D157" s="8"/>
      <c r="AA157" s="8"/>
      <c r="AB157" s="38"/>
      <c r="AC157" s="12"/>
      <c r="AD157" s="12"/>
      <c r="AE157" s="12"/>
      <c r="AF157" s="12"/>
      <c r="AG157" s="12"/>
      <c r="AH157" s="12"/>
      <c r="AI157" s="12"/>
      <c r="AJ157" s="12"/>
      <c r="AK157" s="12"/>
      <c r="AL157" s="42"/>
      <c r="AM157" s="8"/>
      <c r="AN157" s="38"/>
      <c r="AO157" s="12"/>
      <c r="AP157" s="12"/>
      <c r="AQ157" s="12"/>
      <c r="AR157" s="12"/>
      <c r="AS157" s="12"/>
      <c r="AT157" s="12"/>
      <c r="AU157" s="12"/>
      <c r="AV157" s="12"/>
      <c r="AW157" s="42"/>
      <c r="AX157" s="8"/>
      <c r="AY157" s="38"/>
      <c r="AZ157" s="12"/>
      <c r="BA157" s="12"/>
      <c r="BB157" s="12"/>
      <c r="BC157" s="42"/>
    </row>
    <row r="158" spans="1:55">
      <c r="A158" s="21"/>
      <c r="B158" s="8"/>
      <c r="D158" s="8"/>
      <c r="AA158" s="8"/>
      <c r="AB158" s="38"/>
      <c r="AC158" s="12"/>
      <c r="AD158" s="12"/>
      <c r="AE158" s="12"/>
      <c r="AF158" s="12"/>
      <c r="AG158" s="12"/>
      <c r="AH158" s="12"/>
      <c r="AI158" s="12"/>
      <c r="AJ158" s="12"/>
      <c r="AK158" s="12"/>
      <c r="AL158" s="42"/>
      <c r="AM158" s="8"/>
      <c r="AN158" s="38"/>
      <c r="AO158" s="12"/>
      <c r="AP158" s="12"/>
      <c r="AQ158" s="12"/>
      <c r="AR158" s="12"/>
      <c r="AS158" s="12"/>
      <c r="AT158" s="12"/>
      <c r="AU158" s="12"/>
      <c r="AV158" s="12"/>
      <c r="AW158" s="42"/>
      <c r="AX158" s="8"/>
      <c r="AY158" s="38"/>
      <c r="AZ158" s="12"/>
      <c r="BA158" s="12"/>
      <c r="BB158" s="12"/>
      <c r="BC158" s="42"/>
    </row>
    <row r="159" spans="1:55">
      <c r="A159" s="21"/>
      <c r="B159" s="8"/>
      <c r="D159" s="8"/>
      <c r="AA159" s="8"/>
      <c r="AB159" s="38"/>
      <c r="AC159" s="12"/>
      <c r="AD159" s="12"/>
      <c r="AE159" s="12"/>
      <c r="AF159" s="12"/>
      <c r="AG159" s="12"/>
      <c r="AH159" s="12"/>
      <c r="AI159" s="12"/>
      <c r="AJ159" s="12"/>
      <c r="AK159" s="12"/>
      <c r="AL159" s="42"/>
      <c r="AM159" s="8"/>
      <c r="AN159" s="38"/>
      <c r="AO159" s="12"/>
      <c r="AP159" s="12"/>
      <c r="AQ159" s="12"/>
      <c r="AR159" s="12"/>
      <c r="AS159" s="12"/>
      <c r="AT159" s="12"/>
      <c r="AU159" s="12"/>
      <c r="AV159" s="12"/>
      <c r="AW159" s="42"/>
      <c r="AX159" s="8"/>
      <c r="AY159" s="38"/>
      <c r="AZ159" s="12"/>
      <c r="BA159" s="12"/>
      <c r="BB159" s="12"/>
      <c r="BC159" s="42"/>
    </row>
    <row r="160" spans="1:55">
      <c r="A160" s="21"/>
      <c r="B160" s="8"/>
      <c r="D160" s="8"/>
      <c r="AA160" s="8"/>
      <c r="AB160" s="38"/>
      <c r="AC160" s="12"/>
      <c r="AD160" s="12"/>
      <c r="AE160" s="12"/>
      <c r="AF160" s="12"/>
      <c r="AG160" s="12"/>
      <c r="AH160" s="12"/>
      <c r="AI160" s="12"/>
      <c r="AJ160" s="12"/>
      <c r="AK160" s="12"/>
      <c r="AL160" s="42"/>
      <c r="AM160" s="8"/>
      <c r="AN160" s="38"/>
      <c r="AO160" s="12"/>
      <c r="AP160" s="12"/>
      <c r="AQ160" s="12"/>
      <c r="AR160" s="12"/>
      <c r="AS160" s="12"/>
      <c r="AT160" s="12"/>
      <c r="AU160" s="12"/>
      <c r="AV160" s="12"/>
      <c r="AW160" s="42"/>
      <c r="AX160" s="8"/>
      <c r="AY160" s="38"/>
      <c r="AZ160" s="12"/>
      <c r="BA160" s="12"/>
      <c r="BB160" s="12"/>
      <c r="BC160" s="42"/>
    </row>
    <row r="161" spans="1:55">
      <c r="A161" s="21"/>
      <c r="B161" s="8"/>
      <c r="D161" s="8"/>
      <c r="AA161" s="8"/>
      <c r="AB161" s="38"/>
      <c r="AC161" s="12"/>
      <c r="AD161" s="12"/>
      <c r="AE161" s="12"/>
      <c r="AF161" s="12"/>
      <c r="AG161" s="12"/>
      <c r="AH161" s="12"/>
      <c r="AI161" s="12"/>
      <c r="AJ161" s="12"/>
      <c r="AK161" s="12"/>
      <c r="AL161" s="42"/>
      <c r="AM161" s="8"/>
      <c r="AN161" s="38"/>
      <c r="AO161" s="12"/>
      <c r="AP161" s="12"/>
      <c r="AQ161" s="12"/>
      <c r="AR161" s="12"/>
      <c r="AS161" s="12"/>
      <c r="AT161" s="12"/>
      <c r="AU161" s="12"/>
      <c r="AV161" s="12"/>
      <c r="AW161" s="42"/>
      <c r="AX161" s="8"/>
      <c r="AY161" s="38"/>
      <c r="AZ161" s="12"/>
      <c r="BA161" s="12"/>
      <c r="BB161" s="12"/>
      <c r="BC161" s="42"/>
    </row>
    <row r="162" spans="1:55">
      <c r="A162" s="21"/>
      <c r="D162" s="8"/>
      <c r="AA162" s="8"/>
      <c r="AB162" s="38"/>
      <c r="AC162" s="12"/>
      <c r="AD162" s="12"/>
      <c r="AE162" s="12"/>
      <c r="AF162" s="12"/>
      <c r="AG162" s="12"/>
      <c r="AH162" s="12"/>
      <c r="AI162" s="12"/>
      <c r="AJ162" s="12"/>
      <c r="AK162" s="12"/>
      <c r="AL162" s="42"/>
      <c r="AM162" s="8"/>
      <c r="AN162" s="38"/>
      <c r="AO162" s="12"/>
      <c r="AP162" s="12"/>
      <c r="AQ162" s="12"/>
      <c r="AR162" s="12"/>
      <c r="AS162" s="12"/>
      <c r="AT162" s="12"/>
      <c r="AU162" s="12"/>
      <c r="AV162" s="12"/>
      <c r="AW162" s="42"/>
      <c r="AX162" s="8"/>
      <c r="AY162" s="38"/>
      <c r="AZ162" s="12"/>
      <c r="BA162" s="12"/>
      <c r="BB162" s="12"/>
      <c r="BC162" s="42"/>
    </row>
    <row r="163" spans="1:55">
      <c r="A163" s="21"/>
      <c r="B163" s="8"/>
      <c r="D163" s="8"/>
      <c r="AA163" s="8"/>
      <c r="AB163" s="38"/>
      <c r="AC163" s="12"/>
      <c r="AD163" s="12"/>
      <c r="AE163" s="12"/>
      <c r="AF163" s="12"/>
      <c r="AG163" s="12"/>
      <c r="AH163" s="12"/>
      <c r="AI163" s="12"/>
      <c r="AJ163" s="12"/>
      <c r="AK163" s="12"/>
      <c r="AL163" s="42"/>
      <c r="AM163" s="8"/>
      <c r="AN163" s="38"/>
      <c r="AO163" s="12"/>
      <c r="AP163" s="12"/>
      <c r="AQ163" s="12"/>
      <c r="AR163" s="12"/>
      <c r="AS163" s="12"/>
      <c r="AT163" s="12"/>
      <c r="AU163" s="12"/>
      <c r="AV163" s="12"/>
      <c r="AW163" s="42"/>
      <c r="AX163" s="8"/>
      <c r="AY163" s="38"/>
      <c r="AZ163" s="12"/>
      <c r="BA163" s="12"/>
      <c r="BB163" s="12"/>
      <c r="BC163" s="42"/>
    </row>
    <row r="164" spans="1:55">
      <c r="A164" s="21"/>
      <c r="B164" s="8"/>
      <c r="D164" s="8"/>
      <c r="AA164" s="8"/>
      <c r="AB164" s="38"/>
      <c r="AC164" s="12"/>
      <c r="AD164" s="12"/>
      <c r="AE164" s="12"/>
      <c r="AF164" s="12"/>
      <c r="AG164" s="12"/>
      <c r="AH164" s="12"/>
      <c r="AI164" s="12"/>
      <c r="AJ164" s="12"/>
      <c r="AK164" s="12"/>
      <c r="AL164" s="42"/>
      <c r="AM164" s="8"/>
      <c r="AN164" s="38"/>
      <c r="AO164" s="12"/>
      <c r="AP164" s="12"/>
      <c r="AQ164" s="12"/>
      <c r="AR164" s="12"/>
      <c r="AS164" s="12"/>
      <c r="AT164" s="12"/>
      <c r="AU164" s="12"/>
      <c r="AV164" s="12"/>
      <c r="AW164" s="42"/>
      <c r="AX164" s="8"/>
      <c r="AY164" s="38"/>
      <c r="AZ164" s="12"/>
      <c r="BA164" s="12"/>
      <c r="BB164" s="12"/>
      <c r="BC164" s="42"/>
    </row>
    <row r="165" spans="1:55">
      <c r="A165" s="21"/>
      <c r="B165" s="8"/>
      <c r="D165" s="8"/>
      <c r="AA165" s="8"/>
      <c r="AB165" s="38"/>
      <c r="AC165" s="12"/>
      <c r="AD165" s="12"/>
      <c r="AE165" s="12"/>
      <c r="AF165" s="12"/>
      <c r="AG165" s="12"/>
      <c r="AH165" s="12"/>
      <c r="AI165" s="12"/>
      <c r="AJ165" s="12"/>
      <c r="AK165" s="12"/>
      <c r="AL165" s="42"/>
      <c r="AM165" s="8"/>
      <c r="AN165" s="38"/>
      <c r="AO165" s="12"/>
      <c r="AP165" s="12"/>
      <c r="AQ165" s="12"/>
      <c r="AR165" s="12"/>
      <c r="AS165" s="12"/>
      <c r="AT165" s="12"/>
      <c r="AU165" s="12"/>
      <c r="AV165" s="12"/>
      <c r="AW165" s="42"/>
      <c r="AX165" s="8"/>
      <c r="AY165" s="38"/>
      <c r="AZ165" s="12"/>
      <c r="BA165" s="12"/>
      <c r="BB165" s="12"/>
      <c r="BC165" s="42"/>
    </row>
    <row r="166" spans="1:55">
      <c r="A166" s="21"/>
      <c r="B166" s="8"/>
      <c r="D166" s="8"/>
      <c r="AA166" s="8"/>
      <c r="AB166" s="38"/>
      <c r="AC166" s="12"/>
      <c r="AD166" s="12"/>
      <c r="AE166" s="12"/>
      <c r="AF166" s="12"/>
      <c r="AG166" s="12"/>
      <c r="AH166" s="12"/>
      <c r="AI166" s="12"/>
      <c r="AJ166" s="12"/>
      <c r="AK166" s="12"/>
      <c r="AL166" s="42"/>
      <c r="AM166" s="8"/>
      <c r="AN166" s="38"/>
      <c r="AO166" s="12"/>
      <c r="AP166" s="12"/>
      <c r="AQ166" s="12"/>
      <c r="AR166" s="12"/>
      <c r="AS166" s="12"/>
      <c r="AT166" s="12"/>
      <c r="AU166" s="12"/>
      <c r="AV166" s="12"/>
      <c r="AW166" s="42"/>
      <c r="AX166" s="8"/>
      <c r="AY166" s="38"/>
      <c r="AZ166" s="12"/>
      <c r="BA166" s="12"/>
      <c r="BB166" s="12"/>
      <c r="BC166" s="42"/>
    </row>
    <row r="167" spans="1:55">
      <c r="A167" s="21"/>
      <c r="B167" s="8"/>
      <c r="D167" s="8"/>
      <c r="AA167" s="8"/>
      <c r="AB167" s="38"/>
      <c r="AC167" s="12"/>
      <c r="AD167" s="12"/>
      <c r="AE167" s="12"/>
      <c r="AF167" s="12"/>
      <c r="AG167" s="12"/>
      <c r="AH167" s="12"/>
      <c r="AI167" s="12"/>
      <c r="AJ167" s="12"/>
      <c r="AK167" s="12"/>
      <c r="AL167" s="42"/>
      <c r="AM167" s="8"/>
      <c r="AN167" s="38"/>
      <c r="AO167" s="12"/>
      <c r="AP167" s="12"/>
      <c r="AQ167" s="12"/>
      <c r="AR167" s="12"/>
      <c r="AS167" s="12"/>
      <c r="AT167" s="12"/>
      <c r="AU167" s="12"/>
      <c r="AV167" s="12"/>
      <c r="AW167" s="42"/>
      <c r="AX167" s="8"/>
      <c r="AY167" s="38"/>
      <c r="AZ167" s="12"/>
      <c r="BA167" s="12"/>
      <c r="BB167" s="12"/>
      <c r="BC167" s="42"/>
    </row>
    <row r="168" spans="1:55">
      <c r="A168" s="21"/>
      <c r="B168" s="8"/>
      <c r="D168" s="8"/>
      <c r="AA168" s="8"/>
      <c r="AB168" s="38"/>
      <c r="AC168" s="12"/>
      <c r="AD168" s="12"/>
      <c r="AE168" s="12"/>
      <c r="AF168" s="12"/>
      <c r="AG168" s="12"/>
      <c r="AH168" s="12"/>
      <c r="AI168" s="12"/>
      <c r="AJ168" s="12"/>
      <c r="AK168" s="12"/>
      <c r="AL168" s="42"/>
      <c r="AM168" s="8"/>
      <c r="AN168" s="38"/>
      <c r="AO168" s="12"/>
      <c r="AP168" s="12"/>
      <c r="AQ168" s="12"/>
      <c r="AR168" s="12"/>
      <c r="AS168" s="12"/>
      <c r="AT168" s="12"/>
      <c r="AU168" s="12"/>
      <c r="AV168" s="12"/>
      <c r="AW168" s="42"/>
      <c r="AX168" s="8"/>
      <c r="AY168" s="38"/>
      <c r="AZ168" s="12"/>
      <c r="BA168" s="12"/>
      <c r="BB168" s="12"/>
      <c r="BC168" s="42"/>
    </row>
    <row r="169" spans="1:55">
      <c r="A169" s="21"/>
      <c r="B169" s="8"/>
      <c r="D169" s="8"/>
      <c r="AA169" s="8"/>
      <c r="AB169" s="38"/>
      <c r="AC169" s="12"/>
      <c r="AD169" s="12"/>
      <c r="AE169" s="12"/>
      <c r="AF169" s="12"/>
      <c r="AG169" s="12"/>
      <c r="AH169" s="12"/>
      <c r="AI169" s="12"/>
      <c r="AJ169" s="12"/>
      <c r="AK169" s="12"/>
      <c r="AL169" s="42"/>
      <c r="AM169" s="8"/>
      <c r="AN169" s="38"/>
      <c r="AO169" s="12"/>
      <c r="AP169" s="12"/>
      <c r="AQ169" s="12"/>
      <c r="AR169" s="12"/>
      <c r="AS169" s="12"/>
      <c r="AT169" s="12"/>
      <c r="AU169" s="12"/>
      <c r="AV169" s="12"/>
      <c r="AW169" s="42"/>
      <c r="AX169" s="8"/>
      <c r="AY169" s="38"/>
      <c r="AZ169" s="12"/>
      <c r="BA169" s="12"/>
      <c r="BB169" s="12"/>
      <c r="BC169" s="42"/>
    </row>
    <row r="170" spans="1:55">
      <c r="A170" s="21"/>
      <c r="B170" s="8"/>
      <c r="D170" s="8"/>
      <c r="AA170" s="8"/>
      <c r="AB170" s="38"/>
      <c r="AC170" s="12"/>
      <c r="AD170" s="12"/>
      <c r="AE170" s="12"/>
      <c r="AF170" s="12"/>
      <c r="AG170" s="12"/>
      <c r="AH170" s="12"/>
      <c r="AI170" s="12"/>
      <c r="AJ170" s="12"/>
      <c r="AK170" s="12"/>
      <c r="AL170" s="42"/>
      <c r="AM170" s="8"/>
      <c r="AN170" s="38"/>
      <c r="AO170" s="12"/>
      <c r="AP170" s="12"/>
      <c r="AQ170" s="12"/>
      <c r="AR170" s="12"/>
      <c r="AS170" s="12"/>
      <c r="AT170" s="12"/>
      <c r="AU170" s="12"/>
      <c r="AV170" s="12"/>
      <c r="AW170" s="42"/>
      <c r="AX170" s="8"/>
      <c r="AY170" s="38"/>
      <c r="AZ170" s="12"/>
      <c r="BA170" s="12"/>
      <c r="BB170" s="12"/>
      <c r="BC170" s="42"/>
    </row>
    <row r="171" spans="1:55">
      <c r="A171" s="21"/>
      <c r="B171" s="8"/>
      <c r="D171" s="8"/>
      <c r="AA171" s="8"/>
      <c r="AB171" s="38"/>
      <c r="AC171" s="12"/>
      <c r="AD171" s="12"/>
      <c r="AE171" s="12"/>
      <c r="AF171" s="12"/>
      <c r="AG171" s="12"/>
      <c r="AH171" s="12"/>
      <c r="AI171" s="12"/>
      <c r="AJ171" s="12"/>
      <c r="AK171" s="12"/>
      <c r="AL171" s="42"/>
      <c r="AM171" s="8"/>
      <c r="AN171" s="38"/>
      <c r="AO171" s="12"/>
      <c r="AP171" s="12"/>
      <c r="AQ171" s="12"/>
      <c r="AR171" s="12"/>
      <c r="AS171" s="12"/>
      <c r="AT171" s="12"/>
      <c r="AU171" s="12"/>
      <c r="AV171" s="12"/>
      <c r="AW171" s="42"/>
      <c r="AX171" s="8"/>
      <c r="AY171" s="38"/>
      <c r="AZ171" s="12"/>
      <c r="BA171" s="12"/>
      <c r="BB171" s="12"/>
      <c r="BC171" s="42"/>
    </row>
    <row r="172" spans="1:55">
      <c r="A172" s="21"/>
      <c r="B172" s="8"/>
      <c r="D172" s="8"/>
      <c r="AA172" s="8"/>
      <c r="AB172" s="38"/>
      <c r="AC172" s="12"/>
      <c r="AD172" s="12"/>
      <c r="AE172" s="12"/>
      <c r="AF172" s="12"/>
      <c r="AG172" s="12"/>
      <c r="AH172" s="12"/>
      <c r="AI172" s="12"/>
      <c r="AJ172" s="12"/>
      <c r="AK172" s="12"/>
      <c r="AL172" s="42"/>
      <c r="AM172" s="8"/>
      <c r="AN172" s="38"/>
      <c r="AO172" s="12"/>
      <c r="AP172" s="12"/>
      <c r="AQ172" s="12"/>
      <c r="AR172" s="12"/>
      <c r="AS172" s="12"/>
      <c r="AT172" s="12"/>
      <c r="AU172" s="12"/>
      <c r="AV172" s="12"/>
      <c r="AW172" s="42"/>
      <c r="AX172" s="8"/>
      <c r="AY172" s="38"/>
      <c r="AZ172" s="12"/>
      <c r="BA172" s="12"/>
      <c r="BB172" s="12"/>
      <c r="BC172" s="42"/>
    </row>
    <row r="173" spans="1:55">
      <c r="A173" s="21"/>
      <c r="B173" s="8"/>
      <c r="D173" s="8"/>
      <c r="AA173" s="8"/>
      <c r="AB173" s="38"/>
      <c r="AC173" s="12"/>
      <c r="AD173" s="12"/>
      <c r="AE173" s="12"/>
      <c r="AF173" s="12"/>
      <c r="AG173" s="12"/>
      <c r="AH173" s="12"/>
      <c r="AI173" s="12"/>
      <c r="AJ173" s="12"/>
      <c r="AK173" s="12"/>
      <c r="AL173" s="42"/>
      <c r="AM173" s="8"/>
      <c r="AN173" s="38"/>
      <c r="AO173" s="12"/>
      <c r="AP173" s="12"/>
      <c r="AQ173" s="12"/>
      <c r="AR173" s="12"/>
      <c r="AS173" s="12"/>
      <c r="AT173" s="12"/>
      <c r="AU173" s="12"/>
      <c r="AV173" s="12"/>
      <c r="AW173" s="42"/>
      <c r="AX173" s="8"/>
      <c r="AY173" s="38"/>
      <c r="AZ173" s="12"/>
      <c r="BA173" s="12"/>
      <c r="BB173" s="12"/>
      <c r="BC173" s="42"/>
    </row>
    <row r="174" spans="1:55">
      <c r="A174" s="21"/>
      <c r="B174" s="8"/>
      <c r="D174" s="8"/>
      <c r="AA174" s="8"/>
      <c r="AB174" s="38"/>
      <c r="AC174" s="12"/>
      <c r="AD174" s="12"/>
      <c r="AE174" s="12"/>
      <c r="AF174" s="12"/>
      <c r="AG174" s="12"/>
      <c r="AH174" s="12"/>
      <c r="AI174" s="12"/>
      <c r="AJ174" s="12"/>
      <c r="AK174" s="12"/>
      <c r="AL174" s="42"/>
      <c r="AM174" s="8"/>
      <c r="AN174" s="38"/>
      <c r="AO174" s="12"/>
      <c r="AP174" s="12"/>
      <c r="AQ174" s="12"/>
      <c r="AR174" s="12"/>
      <c r="AS174" s="12"/>
      <c r="AT174" s="12"/>
      <c r="AU174" s="12"/>
      <c r="AV174" s="12"/>
      <c r="AW174" s="42"/>
      <c r="AX174" s="8"/>
      <c r="AY174" s="38"/>
      <c r="AZ174" s="12"/>
      <c r="BA174" s="12"/>
      <c r="BB174" s="12"/>
      <c r="BC174" s="42"/>
    </row>
    <row r="175" spans="1:55">
      <c r="A175" s="21"/>
      <c r="B175" s="8"/>
      <c r="D175" s="8"/>
      <c r="AA175" s="8"/>
      <c r="AB175" s="38"/>
      <c r="AC175" s="12"/>
      <c r="AD175" s="12"/>
      <c r="AE175" s="12"/>
      <c r="AF175" s="12"/>
      <c r="AG175" s="12"/>
      <c r="AH175" s="12"/>
      <c r="AI175" s="12"/>
      <c r="AJ175" s="12"/>
      <c r="AK175" s="12"/>
      <c r="AL175" s="42"/>
      <c r="AM175" s="8"/>
      <c r="AN175" s="38"/>
      <c r="AO175" s="12"/>
      <c r="AP175" s="12"/>
      <c r="AQ175" s="12"/>
      <c r="AR175" s="12"/>
      <c r="AS175" s="12"/>
      <c r="AT175" s="12"/>
      <c r="AU175" s="12"/>
      <c r="AV175" s="12"/>
      <c r="AW175" s="42"/>
      <c r="AX175" s="8"/>
      <c r="AY175" s="38"/>
      <c r="AZ175" s="12"/>
      <c r="BA175" s="12"/>
      <c r="BB175" s="12"/>
      <c r="BC175" s="42"/>
    </row>
    <row r="176" spans="1:55">
      <c r="A176" s="21"/>
      <c r="B176" s="8"/>
      <c r="D176" s="8"/>
      <c r="AA176" s="8"/>
      <c r="AB176" s="38"/>
      <c r="AC176" s="12"/>
      <c r="AD176" s="12"/>
      <c r="AE176" s="12"/>
      <c r="AF176" s="12"/>
      <c r="AG176" s="12"/>
      <c r="AH176" s="12"/>
      <c r="AI176" s="12"/>
      <c r="AJ176" s="12"/>
      <c r="AK176" s="12"/>
      <c r="AL176" s="42"/>
      <c r="AM176" s="8"/>
      <c r="AN176" s="38"/>
      <c r="AO176" s="12"/>
      <c r="AP176" s="12"/>
      <c r="AQ176" s="12"/>
      <c r="AR176" s="12"/>
      <c r="AS176" s="12"/>
      <c r="AT176" s="12"/>
      <c r="AU176" s="12"/>
      <c r="AV176" s="12"/>
      <c r="AW176" s="42"/>
      <c r="AX176" s="8"/>
      <c r="AY176" s="38"/>
      <c r="AZ176" s="12"/>
      <c r="BA176" s="12"/>
      <c r="BB176" s="12"/>
      <c r="BC176" s="42"/>
    </row>
    <row r="177" spans="1:55">
      <c r="A177" s="21"/>
      <c r="B177" s="8"/>
      <c r="D177" s="8"/>
      <c r="AA177" s="8"/>
      <c r="AB177" s="38"/>
      <c r="AC177" s="12"/>
      <c r="AD177" s="12"/>
      <c r="AE177" s="12"/>
      <c r="AF177" s="12"/>
      <c r="AG177" s="12"/>
      <c r="AH177" s="12"/>
      <c r="AI177" s="12"/>
      <c r="AJ177" s="12"/>
      <c r="AK177" s="12"/>
      <c r="AL177" s="42"/>
      <c r="AM177" s="8"/>
      <c r="AN177" s="38"/>
      <c r="AO177" s="12"/>
      <c r="AP177" s="12"/>
      <c r="AQ177" s="12"/>
      <c r="AR177" s="12"/>
      <c r="AS177" s="12"/>
      <c r="AT177" s="12"/>
      <c r="AU177" s="12"/>
      <c r="AV177" s="12"/>
      <c r="AW177" s="42"/>
      <c r="AX177" s="8"/>
      <c r="AY177" s="38"/>
      <c r="AZ177" s="12"/>
      <c r="BA177" s="12"/>
      <c r="BB177" s="12"/>
      <c r="BC177" s="42"/>
    </row>
    <row r="178" spans="1:55">
      <c r="A178" s="21"/>
      <c r="B178" s="8"/>
      <c r="D178" s="8"/>
      <c r="AA178" s="8"/>
      <c r="AB178" s="38"/>
      <c r="AC178" s="12"/>
      <c r="AD178" s="12"/>
      <c r="AE178" s="12"/>
      <c r="AF178" s="12"/>
      <c r="AG178" s="12"/>
      <c r="AH178" s="12"/>
      <c r="AI178" s="12"/>
      <c r="AJ178" s="12"/>
      <c r="AK178" s="12"/>
      <c r="AL178" s="42"/>
      <c r="AM178" s="8"/>
      <c r="AN178" s="38"/>
      <c r="AO178" s="12"/>
      <c r="AP178" s="12"/>
      <c r="AQ178" s="12"/>
      <c r="AR178" s="12"/>
      <c r="AS178" s="12"/>
      <c r="AT178" s="12"/>
      <c r="AU178" s="12"/>
      <c r="AV178" s="12"/>
      <c r="AW178" s="42"/>
      <c r="AX178" s="8"/>
      <c r="AY178" s="38"/>
      <c r="AZ178" s="12"/>
      <c r="BA178" s="12"/>
      <c r="BB178" s="12"/>
      <c r="BC178" s="42"/>
    </row>
    <row r="179" spans="1:55">
      <c r="A179" s="21"/>
      <c r="B179" s="8"/>
      <c r="D179" s="8"/>
      <c r="AA179" s="8"/>
      <c r="AB179" s="38"/>
      <c r="AC179" s="12"/>
      <c r="AD179" s="12"/>
      <c r="AE179" s="12"/>
      <c r="AF179" s="12"/>
      <c r="AG179" s="12"/>
      <c r="AH179" s="12"/>
      <c r="AI179" s="12"/>
      <c r="AJ179" s="12"/>
      <c r="AK179" s="12"/>
      <c r="AL179" s="42"/>
      <c r="AM179" s="8"/>
      <c r="AN179" s="38"/>
      <c r="AO179" s="12"/>
      <c r="AP179" s="12"/>
      <c r="AQ179" s="12"/>
      <c r="AR179" s="12"/>
      <c r="AS179" s="12"/>
      <c r="AT179" s="12"/>
      <c r="AU179" s="12"/>
      <c r="AV179" s="12"/>
      <c r="AW179" s="42"/>
      <c r="AX179" s="8"/>
      <c r="AY179" s="38"/>
      <c r="AZ179" s="12"/>
      <c r="BA179" s="12"/>
      <c r="BB179" s="12"/>
      <c r="BC179" s="42"/>
    </row>
    <row r="180" spans="1:55">
      <c r="A180" s="21"/>
      <c r="B180" s="8"/>
      <c r="D180" s="8"/>
      <c r="AA180" s="8"/>
      <c r="AB180" s="38"/>
      <c r="AC180" s="12"/>
      <c r="AD180" s="12"/>
      <c r="AE180" s="12"/>
      <c r="AF180" s="12"/>
      <c r="AG180" s="12"/>
      <c r="AH180" s="12"/>
      <c r="AI180" s="12"/>
      <c r="AJ180" s="12"/>
      <c r="AK180" s="12"/>
      <c r="AL180" s="42"/>
      <c r="AM180" s="8"/>
      <c r="AN180" s="38"/>
      <c r="AO180" s="12"/>
      <c r="AP180" s="12"/>
      <c r="AQ180" s="12"/>
      <c r="AR180" s="12"/>
      <c r="AS180" s="12"/>
      <c r="AT180" s="12"/>
      <c r="AU180" s="12"/>
      <c r="AV180" s="12"/>
      <c r="AW180" s="42"/>
      <c r="AX180" s="8"/>
      <c r="AY180" s="38"/>
      <c r="AZ180" s="12"/>
      <c r="BA180" s="12"/>
      <c r="BB180" s="12"/>
      <c r="BC180" s="42"/>
    </row>
    <row r="181" spans="1:55">
      <c r="A181" s="21"/>
      <c r="B181" s="8"/>
      <c r="D181" s="8"/>
      <c r="AA181" s="8"/>
      <c r="AB181" s="38"/>
      <c r="AC181" s="12"/>
      <c r="AD181" s="12"/>
      <c r="AE181" s="12"/>
      <c r="AF181" s="12"/>
      <c r="AG181" s="12"/>
      <c r="AH181" s="12"/>
      <c r="AI181" s="12"/>
      <c r="AJ181" s="12"/>
      <c r="AK181" s="12"/>
      <c r="AL181" s="42"/>
      <c r="AM181" s="8"/>
      <c r="AN181" s="38"/>
      <c r="AO181" s="12"/>
      <c r="AP181" s="12"/>
      <c r="AQ181" s="12"/>
      <c r="AR181" s="12"/>
      <c r="AS181" s="12"/>
      <c r="AT181" s="12"/>
      <c r="AU181" s="12"/>
      <c r="AV181" s="12"/>
      <c r="AW181" s="42"/>
      <c r="AX181" s="8"/>
      <c r="AY181" s="38"/>
      <c r="AZ181" s="12"/>
      <c r="BA181" s="12"/>
      <c r="BB181" s="12"/>
      <c r="BC181" s="42"/>
    </row>
    <row r="182" spans="1:55">
      <c r="A182" s="21"/>
      <c r="B182" s="8"/>
      <c r="D182" s="8"/>
      <c r="AA182" s="8"/>
      <c r="AB182" s="38"/>
      <c r="AC182" s="12"/>
      <c r="AD182" s="12"/>
      <c r="AE182" s="12"/>
      <c r="AF182" s="12"/>
      <c r="AG182" s="12"/>
      <c r="AH182" s="12"/>
      <c r="AI182" s="12"/>
      <c r="AJ182" s="12"/>
      <c r="AK182" s="12"/>
      <c r="AL182" s="42"/>
      <c r="AM182" s="8"/>
      <c r="AN182" s="38"/>
      <c r="AO182" s="12"/>
      <c r="AP182" s="12"/>
      <c r="AQ182" s="12"/>
      <c r="AR182" s="12"/>
      <c r="AS182" s="12"/>
      <c r="AT182" s="12"/>
      <c r="AU182" s="12"/>
      <c r="AV182" s="12"/>
      <c r="AW182" s="42"/>
      <c r="AX182" s="8"/>
      <c r="AY182" s="38"/>
      <c r="AZ182" s="12"/>
      <c r="BA182" s="12"/>
      <c r="BB182" s="12"/>
      <c r="BC182" s="42"/>
    </row>
    <row r="183" spans="1:55">
      <c r="A183" s="21"/>
      <c r="B183" s="8"/>
      <c r="D183" s="8"/>
      <c r="AA183" s="8"/>
      <c r="AB183" s="38"/>
      <c r="AC183" s="12"/>
      <c r="AD183" s="12"/>
      <c r="AE183" s="12"/>
      <c r="AF183" s="12"/>
      <c r="AG183" s="12"/>
      <c r="AH183" s="12"/>
      <c r="AI183" s="12"/>
      <c r="AJ183" s="12"/>
      <c r="AK183" s="12"/>
      <c r="AL183" s="42"/>
      <c r="AM183" s="8"/>
      <c r="AN183" s="38"/>
      <c r="AO183" s="12"/>
      <c r="AP183" s="12"/>
      <c r="AQ183" s="12"/>
      <c r="AR183" s="12"/>
      <c r="AS183" s="12"/>
      <c r="AT183" s="12"/>
      <c r="AU183" s="12"/>
      <c r="AV183" s="12"/>
      <c r="AW183" s="42"/>
      <c r="AX183" s="8"/>
      <c r="AY183" s="38"/>
      <c r="AZ183" s="12"/>
      <c r="BA183" s="12"/>
      <c r="BB183" s="12"/>
      <c r="BC183" s="42"/>
    </row>
    <row r="184" spans="1:55">
      <c r="A184" s="21"/>
      <c r="B184" s="8"/>
      <c r="D184" s="8"/>
      <c r="AA184" s="8"/>
      <c r="AB184" s="38"/>
      <c r="AC184" s="12"/>
      <c r="AD184" s="12"/>
      <c r="AE184" s="12"/>
      <c r="AF184" s="12"/>
      <c r="AG184" s="12"/>
      <c r="AH184" s="12"/>
      <c r="AI184" s="12"/>
      <c r="AJ184" s="12"/>
      <c r="AK184" s="12"/>
      <c r="AL184" s="42"/>
      <c r="AM184" s="8"/>
      <c r="AN184" s="38"/>
      <c r="AO184" s="12"/>
      <c r="AP184" s="12"/>
      <c r="AQ184" s="12"/>
      <c r="AR184" s="12"/>
      <c r="AS184" s="12"/>
      <c r="AT184" s="12"/>
      <c r="AU184" s="12"/>
      <c r="AV184" s="12"/>
      <c r="AW184" s="42"/>
      <c r="AX184" s="8"/>
      <c r="AY184" s="38"/>
      <c r="AZ184" s="12"/>
      <c r="BA184" s="12"/>
      <c r="BB184" s="12"/>
      <c r="BC184" s="42"/>
    </row>
    <row r="185" spans="1:55">
      <c r="A185" s="21"/>
      <c r="B185" s="8"/>
      <c r="D185" s="8"/>
      <c r="AA185" s="8"/>
      <c r="AB185" s="38"/>
      <c r="AC185" s="12"/>
      <c r="AD185" s="12"/>
      <c r="AE185" s="12"/>
      <c r="AF185" s="12"/>
      <c r="AG185" s="12"/>
      <c r="AH185" s="12"/>
      <c r="AI185" s="12"/>
      <c r="AJ185" s="12"/>
      <c r="AK185" s="12"/>
      <c r="AL185" s="42"/>
      <c r="AM185" s="8"/>
      <c r="AN185" s="38"/>
      <c r="AO185" s="12"/>
      <c r="AP185" s="12"/>
      <c r="AQ185" s="12"/>
      <c r="AR185" s="12"/>
      <c r="AS185" s="12"/>
      <c r="AT185" s="12"/>
      <c r="AU185" s="12"/>
      <c r="AV185" s="12"/>
      <c r="AW185" s="42"/>
      <c r="AX185" s="8"/>
      <c r="AY185" s="38"/>
      <c r="AZ185" s="12"/>
      <c r="BA185" s="12"/>
      <c r="BB185" s="12"/>
      <c r="BC185" s="42"/>
    </row>
    <row r="186" spans="1:55">
      <c r="A186" s="21"/>
      <c r="B186" s="8"/>
      <c r="D186" s="8"/>
      <c r="AA186" s="8"/>
      <c r="AB186" s="38"/>
      <c r="AC186" s="12"/>
      <c r="AD186" s="12"/>
      <c r="AE186" s="12"/>
      <c r="AF186" s="12"/>
      <c r="AG186" s="12"/>
      <c r="AH186" s="12"/>
      <c r="AI186" s="12"/>
      <c r="AJ186" s="12"/>
      <c r="AK186" s="12"/>
      <c r="AL186" s="42"/>
      <c r="AM186" s="8"/>
      <c r="AN186" s="38"/>
      <c r="AO186" s="12"/>
      <c r="AP186" s="12"/>
      <c r="AQ186" s="12"/>
      <c r="AR186" s="12"/>
      <c r="AS186" s="12"/>
      <c r="AT186" s="12"/>
      <c r="AU186" s="12"/>
      <c r="AV186" s="12"/>
      <c r="AW186" s="42"/>
      <c r="AX186" s="8"/>
      <c r="AY186" s="38"/>
      <c r="AZ186" s="12"/>
      <c r="BA186" s="12"/>
      <c r="BB186" s="12"/>
      <c r="BC186" s="42"/>
    </row>
    <row r="187" spans="1:55">
      <c r="A187" s="21"/>
      <c r="B187" s="8"/>
      <c r="D187" s="8"/>
      <c r="AA187" s="8"/>
      <c r="AB187" s="38"/>
      <c r="AC187" s="12"/>
      <c r="AD187" s="12"/>
      <c r="AE187" s="12"/>
      <c r="AF187" s="12"/>
      <c r="AG187" s="12"/>
      <c r="AH187" s="12"/>
      <c r="AI187" s="12"/>
      <c r="AJ187" s="12"/>
      <c r="AK187" s="12"/>
      <c r="AL187" s="42"/>
      <c r="AM187" s="8"/>
      <c r="AN187" s="38"/>
      <c r="AO187" s="12"/>
      <c r="AP187" s="12"/>
      <c r="AQ187" s="12"/>
      <c r="AR187" s="12"/>
      <c r="AS187" s="12"/>
      <c r="AT187" s="12"/>
      <c r="AU187" s="12"/>
      <c r="AV187" s="12"/>
      <c r="AW187" s="42"/>
      <c r="AX187" s="8"/>
      <c r="AY187" s="38"/>
      <c r="AZ187" s="12"/>
      <c r="BA187" s="12"/>
      <c r="BB187" s="12"/>
      <c r="BC187" s="42"/>
    </row>
    <row r="188" spans="1:55">
      <c r="A188" s="21"/>
      <c r="B188" s="8"/>
      <c r="D188" s="8"/>
      <c r="AA188" s="8"/>
      <c r="AB188" s="38"/>
      <c r="AC188" s="12"/>
      <c r="AD188" s="12"/>
      <c r="AE188" s="12"/>
      <c r="AF188" s="12"/>
      <c r="AG188" s="12"/>
      <c r="AH188" s="12"/>
      <c r="AI188" s="12"/>
      <c r="AJ188" s="12"/>
      <c r="AK188" s="12"/>
      <c r="AL188" s="42"/>
      <c r="AM188" s="8"/>
      <c r="AN188" s="38"/>
      <c r="AO188" s="12"/>
      <c r="AP188" s="12"/>
      <c r="AQ188" s="12"/>
      <c r="AR188" s="12"/>
      <c r="AS188" s="12"/>
      <c r="AT188" s="12"/>
      <c r="AU188" s="12"/>
      <c r="AV188" s="12"/>
      <c r="AW188" s="42"/>
      <c r="AX188" s="8"/>
      <c r="AY188" s="38"/>
      <c r="AZ188" s="12"/>
      <c r="BA188" s="12"/>
      <c r="BB188" s="12"/>
      <c r="BC188" s="42"/>
    </row>
    <row r="189" spans="1:55">
      <c r="A189" s="21"/>
      <c r="B189" s="8"/>
      <c r="D189" s="8"/>
      <c r="AA189" s="8"/>
      <c r="AB189" s="38"/>
      <c r="AC189" s="12"/>
      <c r="AD189" s="12"/>
      <c r="AE189" s="12"/>
      <c r="AF189" s="12"/>
      <c r="AG189" s="12"/>
      <c r="AH189" s="12"/>
      <c r="AI189" s="12"/>
      <c r="AJ189" s="12"/>
      <c r="AK189" s="12"/>
      <c r="AL189" s="42"/>
      <c r="AM189" s="8"/>
      <c r="AN189" s="38"/>
      <c r="AO189" s="12"/>
      <c r="AP189" s="12"/>
      <c r="AQ189" s="12"/>
      <c r="AR189" s="12"/>
      <c r="AS189" s="12"/>
      <c r="AT189" s="12"/>
      <c r="AU189" s="12"/>
      <c r="AV189" s="12"/>
      <c r="AW189" s="42"/>
      <c r="AX189" s="8"/>
      <c r="AY189" s="38"/>
      <c r="AZ189" s="12"/>
      <c r="BA189" s="12"/>
      <c r="BB189" s="12"/>
      <c r="BC189" s="42"/>
    </row>
    <row r="190" spans="1:55">
      <c r="A190" s="21"/>
      <c r="B190" s="8"/>
      <c r="D190" s="8"/>
      <c r="AA190" s="8"/>
      <c r="AB190" s="38"/>
      <c r="AC190" s="12"/>
      <c r="AD190" s="12"/>
      <c r="AE190" s="12"/>
      <c r="AF190" s="12"/>
      <c r="AG190" s="12"/>
      <c r="AH190" s="12"/>
      <c r="AI190" s="12"/>
      <c r="AJ190" s="12"/>
      <c r="AK190" s="12"/>
      <c r="AL190" s="42"/>
      <c r="AM190" s="8"/>
      <c r="AN190" s="38"/>
      <c r="AO190" s="12"/>
      <c r="AP190" s="12"/>
      <c r="AQ190" s="12"/>
      <c r="AR190" s="12"/>
      <c r="AS190" s="12"/>
      <c r="AT190" s="12"/>
      <c r="AU190" s="12"/>
      <c r="AV190" s="12"/>
      <c r="AW190" s="42"/>
      <c r="AX190" s="8"/>
      <c r="AY190" s="38"/>
      <c r="AZ190" s="12"/>
      <c r="BA190" s="12"/>
      <c r="BB190" s="12"/>
      <c r="BC190" s="42"/>
    </row>
    <row r="191" spans="1:55">
      <c r="A191" s="21"/>
      <c r="B191" s="8"/>
      <c r="D191" s="8"/>
      <c r="AA191" s="8"/>
      <c r="AB191" s="38"/>
      <c r="AC191" s="12"/>
      <c r="AD191" s="12"/>
      <c r="AE191" s="12"/>
      <c r="AF191" s="12"/>
      <c r="AG191" s="12"/>
      <c r="AH191" s="12"/>
      <c r="AI191" s="12"/>
      <c r="AJ191" s="12"/>
      <c r="AK191" s="12"/>
      <c r="AL191" s="42"/>
      <c r="AM191" s="8"/>
      <c r="AN191" s="38"/>
      <c r="AO191" s="12"/>
      <c r="AP191" s="12"/>
      <c r="AQ191" s="12"/>
      <c r="AR191" s="12"/>
      <c r="AS191" s="12"/>
      <c r="AT191" s="12"/>
      <c r="AU191" s="12"/>
      <c r="AV191" s="12"/>
      <c r="AW191" s="42"/>
      <c r="AX191" s="8"/>
      <c r="AY191" s="38"/>
      <c r="AZ191" s="12"/>
      <c r="BA191" s="12"/>
      <c r="BB191" s="12"/>
      <c r="BC191" s="42"/>
    </row>
    <row r="192" spans="1:55">
      <c r="A192" s="21"/>
      <c r="B192" s="8"/>
      <c r="D192" s="8"/>
      <c r="AA192" s="8"/>
      <c r="AB192" s="38"/>
      <c r="AC192" s="12"/>
      <c r="AD192" s="12"/>
      <c r="AE192" s="12"/>
      <c r="AF192" s="12"/>
      <c r="AG192" s="12"/>
      <c r="AH192" s="12"/>
      <c r="AI192" s="12"/>
      <c r="AJ192" s="12"/>
      <c r="AK192" s="12"/>
      <c r="AL192" s="42"/>
      <c r="AM192" s="8"/>
      <c r="AN192" s="38"/>
      <c r="AO192" s="12"/>
      <c r="AP192" s="12"/>
      <c r="AQ192" s="12"/>
      <c r="AR192" s="12"/>
      <c r="AS192" s="12"/>
      <c r="AT192" s="12"/>
      <c r="AU192" s="12"/>
      <c r="AV192" s="12"/>
      <c r="AW192" s="42"/>
      <c r="AX192" s="8"/>
      <c r="AY192" s="38"/>
      <c r="AZ192" s="12"/>
      <c r="BA192" s="12"/>
      <c r="BB192" s="12"/>
      <c r="BC192" s="42"/>
    </row>
    <row r="193" spans="1:55">
      <c r="A193" s="21"/>
      <c r="B193" s="8"/>
      <c r="D193" s="8"/>
      <c r="AA193" s="8"/>
      <c r="AB193" s="38"/>
      <c r="AC193" s="12"/>
      <c r="AD193" s="12"/>
      <c r="AE193" s="12"/>
      <c r="AF193" s="12"/>
      <c r="AG193" s="12"/>
      <c r="AH193" s="12"/>
      <c r="AI193" s="12"/>
      <c r="AJ193" s="12"/>
      <c r="AK193" s="12"/>
      <c r="AL193" s="42"/>
      <c r="AM193" s="8"/>
      <c r="AN193" s="38"/>
      <c r="AO193" s="12"/>
      <c r="AP193" s="12"/>
      <c r="AQ193" s="12"/>
      <c r="AR193" s="12"/>
      <c r="AS193" s="12"/>
      <c r="AT193" s="12"/>
      <c r="AU193" s="12"/>
      <c r="AV193" s="12"/>
      <c r="AW193" s="42"/>
      <c r="AX193" s="8"/>
      <c r="AY193" s="38"/>
      <c r="AZ193" s="12"/>
      <c r="BA193" s="12"/>
      <c r="BB193" s="12"/>
      <c r="BC193" s="42"/>
    </row>
    <row r="194" spans="1:55">
      <c r="A194" s="21"/>
      <c r="B194" s="8"/>
      <c r="D194" s="8"/>
      <c r="AA194" s="8"/>
      <c r="AB194" s="38"/>
      <c r="AC194" s="12"/>
      <c r="AD194" s="12"/>
      <c r="AE194" s="12"/>
      <c r="AF194" s="12"/>
      <c r="AG194" s="12"/>
      <c r="AH194" s="12"/>
      <c r="AI194" s="12"/>
      <c r="AJ194" s="12"/>
      <c r="AK194" s="12"/>
      <c r="AL194" s="42"/>
      <c r="AM194" s="8"/>
      <c r="AN194" s="38"/>
      <c r="AO194" s="12"/>
      <c r="AP194" s="12"/>
      <c r="AQ194" s="12"/>
      <c r="AR194" s="12"/>
      <c r="AS194" s="12"/>
      <c r="AT194" s="12"/>
      <c r="AU194" s="12"/>
      <c r="AV194" s="12"/>
      <c r="AW194" s="42"/>
      <c r="AX194" s="8"/>
      <c r="AY194" s="38"/>
      <c r="AZ194" s="12"/>
      <c r="BA194" s="12"/>
      <c r="BB194" s="12"/>
      <c r="BC194" s="42"/>
    </row>
    <row r="195" spans="1:55">
      <c r="A195" s="21"/>
      <c r="B195" s="8"/>
      <c r="D195" s="8"/>
      <c r="AA195" s="8"/>
      <c r="AB195" s="38"/>
      <c r="AC195" s="12"/>
      <c r="AD195" s="12"/>
      <c r="AE195" s="12"/>
      <c r="AF195" s="12"/>
      <c r="AG195" s="12"/>
      <c r="AH195" s="12"/>
      <c r="AI195" s="12"/>
      <c r="AJ195" s="12"/>
      <c r="AK195" s="12"/>
      <c r="AL195" s="42"/>
      <c r="AM195" s="8"/>
      <c r="AN195" s="38"/>
      <c r="AO195" s="12"/>
      <c r="AP195" s="12"/>
      <c r="AQ195" s="12"/>
      <c r="AR195" s="12"/>
      <c r="AS195" s="12"/>
      <c r="AT195" s="12"/>
      <c r="AU195" s="12"/>
      <c r="AV195" s="12"/>
      <c r="AW195" s="42"/>
      <c r="AX195" s="8"/>
      <c r="AY195" s="38"/>
      <c r="AZ195" s="12"/>
      <c r="BA195" s="12"/>
      <c r="BB195" s="12"/>
      <c r="BC195" s="42"/>
    </row>
    <row r="196" spans="1:55">
      <c r="A196" s="21"/>
      <c r="B196" s="8"/>
      <c r="D196" s="8"/>
      <c r="AA196" s="8"/>
      <c r="AB196" s="38"/>
      <c r="AC196" s="12"/>
      <c r="AD196" s="12"/>
      <c r="AE196" s="12"/>
      <c r="AF196" s="12"/>
      <c r="AG196" s="12"/>
      <c r="AH196" s="12"/>
      <c r="AI196" s="12"/>
      <c r="AJ196" s="12"/>
      <c r="AK196" s="12"/>
      <c r="AL196" s="42"/>
      <c r="AM196" s="8"/>
      <c r="AN196" s="38"/>
      <c r="AO196" s="12"/>
      <c r="AP196" s="12"/>
      <c r="AQ196" s="12"/>
      <c r="AR196" s="12"/>
      <c r="AS196" s="12"/>
      <c r="AT196" s="12"/>
      <c r="AU196" s="12"/>
      <c r="AV196" s="12"/>
      <c r="AW196" s="42"/>
      <c r="AX196" s="8"/>
      <c r="AY196" s="38"/>
      <c r="AZ196" s="12"/>
      <c r="BA196" s="12"/>
      <c r="BB196" s="12"/>
      <c r="BC196" s="42"/>
    </row>
    <row r="197" spans="1:55">
      <c r="A197" s="21"/>
      <c r="B197" s="8"/>
      <c r="D197" s="8"/>
      <c r="AA197" s="8"/>
      <c r="AB197" s="38"/>
      <c r="AC197" s="12"/>
      <c r="AD197" s="12"/>
      <c r="AE197" s="12"/>
      <c r="AF197" s="12"/>
      <c r="AG197" s="12"/>
      <c r="AH197" s="12"/>
      <c r="AI197" s="12"/>
      <c r="AJ197" s="12"/>
      <c r="AK197" s="12"/>
      <c r="AL197" s="42"/>
      <c r="AM197" s="8"/>
      <c r="AN197" s="38"/>
      <c r="AO197" s="12"/>
      <c r="AP197" s="12"/>
      <c r="AQ197" s="12"/>
      <c r="AR197" s="12"/>
      <c r="AS197" s="12"/>
      <c r="AT197" s="12"/>
      <c r="AU197" s="12"/>
      <c r="AV197" s="12"/>
      <c r="AW197" s="42"/>
      <c r="AX197" s="8"/>
      <c r="AY197" s="38"/>
      <c r="AZ197" s="12"/>
      <c r="BA197" s="12"/>
      <c r="BB197" s="12"/>
      <c r="BC197" s="42"/>
    </row>
    <row r="198" spans="1:55">
      <c r="A198" s="21"/>
      <c r="B198" s="8"/>
      <c r="D198" s="8"/>
      <c r="AA198" s="8"/>
      <c r="AB198" s="38"/>
      <c r="AC198" s="12"/>
      <c r="AD198" s="12"/>
      <c r="AE198" s="12"/>
      <c r="AF198" s="12"/>
      <c r="AG198" s="12"/>
      <c r="AH198" s="12"/>
      <c r="AI198" s="12"/>
      <c r="AJ198" s="12"/>
      <c r="AK198" s="12"/>
      <c r="AL198" s="42"/>
      <c r="AM198" s="8"/>
      <c r="AN198" s="38"/>
      <c r="AO198" s="12"/>
      <c r="AP198" s="12"/>
      <c r="AQ198" s="12"/>
      <c r="AR198" s="12"/>
      <c r="AS198" s="12"/>
      <c r="AT198" s="12"/>
      <c r="AU198" s="12"/>
      <c r="AV198" s="12"/>
      <c r="AW198" s="42"/>
      <c r="AX198" s="8"/>
      <c r="AY198" s="38"/>
      <c r="AZ198" s="12"/>
      <c r="BA198" s="12"/>
      <c r="BB198" s="12"/>
      <c r="BC198" s="42"/>
    </row>
    <row r="199" spans="1:55">
      <c r="A199" s="21"/>
      <c r="B199" s="8"/>
      <c r="D199" s="8"/>
      <c r="AA199" s="8"/>
      <c r="AB199" s="38"/>
      <c r="AC199" s="12"/>
      <c r="AD199" s="12"/>
      <c r="AE199" s="12"/>
      <c r="AF199" s="12"/>
      <c r="AG199" s="12"/>
      <c r="AH199" s="12"/>
      <c r="AI199" s="12"/>
      <c r="AJ199" s="12"/>
      <c r="AK199" s="12"/>
      <c r="AL199" s="42"/>
      <c r="AM199" s="8"/>
      <c r="AN199" s="38"/>
      <c r="AO199" s="12"/>
      <c r="AP199" s="12"/>
      <c r="AQ199" s="12"/>
      <c r="AR199" s="12"/>
      <c r="AS199" s="12"/>
      <c r="AT199" s="12"/>
      <c r="AU199" s="12"/>
      <c r="AV199" s="12"/>
      <c r="AW199" s="42"/>
      <c r="AX199" s="8"/>
      <c r="AY199" s="38"/>
      <c r="AZ199" s="12"/>
      <c r="BA199" s="12"/>
      <c r="BB199" s="12"/>
      <c r="BC199" s="42"/>
    </row>
    <row r="200" spans="1:55">
      <c r="A200" s="21"/>
      <c r="B200" s="8"/>
      <c r="D200" s="8"/>
      <c r="AA200" s="8"/>
      <c r="AB200" s="38"/>
      <c r="AC200" s="12"/>
      <c r="AD200" s="12"/>
      <c r="AE200" s="12"/>
      <c r="AF200" s="12"/>
      <c r="AG200" s="12"/>
      <c r="AH200" s="12"/>
      <c r="AI200" s="12"/>
      <c r="AJ200" s="12"/>
      <c r="AK200" s="12"/>
      <c r="AL200" s="42"/>
      <c r="AM200" s="8"/>
      <c r="AN200" s="38"/>
      <c r="AO200" s="12"/>
      <c r="AP200" s="12"/>
      <c r="AQ200" s="12"/>
      <c r="AR200" s="12"/>
      <c r="AS200" s="12"/>
      <c r="AT200" s="12"/>
      <c r="AU200" s="12"/>
      <c r="AV200" s="12"/>
      <c r="AW200" s="42"/>
      <c r="AX200" s="8"/>
      <c r="AY200" s="38"/>
      <c r="AZ200" s="12"/>
      <c r="BA200" s="12"/>
      <c r="BB200" s="12"/>
      <c r="BC200" s="42"/>
    </row>
    <row r="201" spans="1:55">
      <c r="A201" s="21"/>
      <c r="B201" s="8"/>
      <c r="D201" s="8"/>
      <c r="AA201" s="8"/>
      <c r="AB201" s="38"/>
      <c r="AC201" s="12"/>
      <c r="AD201" s="12"/>
      <c r="AE201" s="12"/>
      <c r="AF201" s="12"/>
      <c r="AG201" s="12"/>
      <c r="AH201" s="12"/>
      <c r="AI201" s="12"/>
      <c r="AJ201" s="12"/>
      <c r="AK201" s="12"/>
      <c r="AL201" s="42"/>
      <c r="AM201" s="8"/>
      <c r="AN201" s="38"/>
      <c r="AO201" s="12"/>
      <c r="AP201" s="12"/>
      <c r="AQ201" s="12"/>
      <c r="AR201" s="12"/>
      <c r="AS201" s="12"/>
      <c r="AT201" s="12"/>
      <c r="AU201" s="12"/>
      <c r="AV201" s="12"/>
      <c r="AW201" s="42"/>
      <c r="AX201" s="8"/>
      <c r="AY201" s="38"/>
      <c r="AZ201" s="12"/>
      <c r="BA201" s="12"/>
      <c r="BB201" s="12"/>
      <c r="BC201" s="42"/>
    </row>
    <row r="202" spans="1:55">
      <c r="A202" s="21"/>
      <c r="B202" s="8"/>
      <c r="D202" s="8"/>
      <c r="AA202" s="8"/>
      <c r="AB202" s="38"/>
      <c r="AC202" s="12"/>
      <c r="AD202" s="12"/>
      <c r="AE202" s="12"/>
      <c r="AF202" s="12"/>
      <c r="AG202" s="12"/>
      <c r="AH202" s="12"/>
      <c r="AI202" s="12"/>
      <c r="AJ202" s="12"/>
      <c r="AK202" s="12"/>
      <c r="AL202" s="42"/>
      <c r="AM202" s="8"/>
      <c r="AN202" s="38"/>
      <c r="AO202" s="12"/>
      <c r="AP202" s="12"/>
      <c r="AQ202" s="12"/>
      <c r="AR202" s="12"/>
      <c r="AS202" s="12"/>
      <c r="AT202" s="12"/>
      <c r="AU202" s="12"/>
      <c r="AV202" s="12"/>
      <c r="AW202" s="42"/>
      <c r="AX202" s="8"/>
      <c r="AY202" s="38"/>
      <c r="AZ202" s="12"/>
      <c r="BA202" s="12"/>
      <c r="BB202" s="12"/>
      <c r="BC202" s="42"/>
    </row>
    <row r="203" spans="1:55">
      <c r="A203" s="21"/>
      <c r="B203" s="8"/>
      <c r="D203" s="8"/>
      <c r="AA203" s="8"/>
      <c r="AB203" s="38"/>
      <c r="AC203" s="12"/>
      <c r="AD203" s="12"/>
      <c r="AE203" s="12"/>
      <c r="AF203" s="12"/>
      <c r="AG203" s="12"/>
      <c r="AH203" s="12"/>
      <c r="AI203" s="12"/>
      <c r="AJ203" s="12"/>
      <c r="AK203" s="12"/>
      <c r="AL203" s="42"/>
      <c r="AM203" s="8"/>
      <c r="AN203" s="38"/>
      <c r="AO203" s="12"/>
      <c r="AP203" s="12"/>
      <c r="AQ203" s="12"/>
      <c r="AR203" s="12"/>
      <c r="AS203" s="12"/>
      <c r="AT203" s="12"/>
      <c r="AU203" s="12"/>
      <c r="AV203" s="12"/>
      <c r="AW203" s="42"/>
      <c r="AX203" s="8"/>
      <c r="AY203" s="38"/>
      <c r="AZ203" s="12"/>
      <c r="BA203" s="12"/>
      <c r="BB203" s="12"/>
      <c r="BC203" s="42"/>
    </row>
    <row r="204" spans="1:55">
      <c r="A204" s="21"/>
      <c r="B204" s="8"/>
      <c r="D204" s="8"/>
      <c r="AA204" s="8"/>
      <c r="AB204" s="38"/>
      <c r="AC204" s="12"/>
      <c r="AD204" s="12"/>
      <c r="AE204" s="12"/>
      <c r="AF204" s="12"/>
      <c r="AG204" s="12"/>
      <c r="AH204" s="12"/>
      <c r="AI204" s="12"/>
      <c r="AJ204" s="12"/>
      <c r="AK204" s="12"/>
      <c r="AL204" s="42"/>
      <c r="AM204" s="8"/>
      <c r="AN204" s="38"/>
      <c r="AO204" s="12"/>
      <c r="AP204" s="12"/>
      <c r="AQ204" s="12"/>
      <c r="AR204" s="12"/>
      <c r="AS204" s="12"/>
      <c r="AT204" s="12"/>
      <c r="AU204" s="12"/>
      <c r="AV204" s="12"/>
      <c r="AW204" s="42"/>
      <c r="AX204" s="8"/>
      <c r="AY204" s="38"/>
      <c r="AZ204" s="12"/>
      <c r="BA204" s="12"/>
      <c r="BB204" s="12"/>
      <c r="BC204" s="42"/>
    </row>
    <row r="205" spans="1:55">
      <c r="A205" s="21"/>
      <c r="B205" s="8"/>
      <c r="D205" s="8"/>
      <c r="AA205" s="8"/>
      <c r="AB205" s="38"/>
      <c r="AC205" s="12"/>
      <c r="AD205" s="12"/>
      <c r="AE205" s="12"/>
      <c r="AF205" s="12"/>
      <c r="AG205" s="12"/>
      <c r="AH205" s="12"/>
      <c r="AI205" s="12"/>
      <c r="AJ205" s="12"/>
      <c r="AK205" s="12"/>
      <c r="AL205" s="42"/>
      <c r="AM205" s="8"/>
      <c r="AN205" s="38"/>
      <c r="AO205" s="12"/>
      <c r="AP205" s="12"/>
      <c r="AQ205" s="12"/>
      <c r="AR205" s="12"/>
      <c r="AS205" s="12"/>
      <c r="AT205" s="12"/>
      <c r="AU205" s="12"/>
      <c r="AV205" s="12"/>
      <c r="AW205" s="42"/>
      <c r="AX205" s="8"/>
      <c r="AY205" s="38"/>
      <c r="AZ205" s="12"/>
      <c r="BA205" s="12"/>
      <c r="BB205" s="12"/>
      <c r="BC205" s="42"/>
    </row>
    <row r="206" spans="1:55">
      <c r="A206" s="21"/>
      <c r="B206" s="8"/>
      <c r="D206" s="8"/>
      <c r="AA206" s="8"/>
      <c r="AB206" s="38"/>
      <c r="AC206" s="12"/>
      <c r="AD206" s="12"/>
      <c r="AE206" s="12"/>
      <c r="AF206" s="12"/>
      <c r="AG206" s="12"/>
      <c r="AH206" s="12"/>
      <c r="AI206" s="12"/>
      <c r="AJ206" s="12"/>
      <c r="AK206" s="12"/>
      <c r="AL206" s="42"/>
      <c r="AM206" s="8"/>
      <c r="AN206" s="38"/>
      <c r="AO206" s="12"/>
      <c r="AP206" s="12"/>
      <c r="AQ206" s="12"/>
      <c r="AR206" s="12"/>
      <c r="AS206" s="12"/>
      <c r="AT206" s="12"/>
      <c r="AU206" s="12"/>
      <c r="AV206" s="12"/>
      <c r="AW206" s="42"/>
      <c r="AX206" s="8"/>
      <c r="AY206" s="38"/>
      <c r="AZ206" s="12"/>
      <c r="BA206" s="12"/>
      <c r="BB206" s="12"/>
      <c r="BC206" s="42"/>
    </row>
    <row r="207" spans="1:55">
      <c r="A207" s="21"/>
      <c r="B207" s="8"/>
      <c r="D207" s="8"/>
      <c r="AA207" s="8"/>
      <c r="AB207" s="38"/>
      <c r="AC207" s="12"/>
      <c r="AD207" s="12"/>
      <c r="AE207" s="12"/>
      <c r="AF207" s="12"/>
      <c r="AG207" s="12"/>
      <c r="AH207" s="12"/>
      <c r="AI207" s="12"/>
      <c r="AJ207" s="12"/>
      <c r="AK207" s="12"/>
      <c r="AL207" s="42"/>
      <c r="AM207" s="8"/>
      <c r="AN207" s="38"/>
      <c r="AO207" s="12"/>
      <c r="AP207" s="12"/>
      <c r="AQ207" s="12"/>
      <c r="AR207" s="12"/>
      <c r="AS207" s="12"/>
      <c r="AT207" s="12"/>
      <c r="AU207" s="12"/>
      <c r="AV207" s="12"/>
      <c r="AW207" s="42"/>
      <c r="AX207" s="8"/>
      <c r="AY207" s="38"/>
      <c r="AZ207" s="12"/>
      <c r="BA207" s="12"/>
      <c r="BB207" s="12"/>
      <c r="BC207" s="42"/>
    </row>
    <row r="208" spans="1:55">
      <c r="A208" s="21"/>
      <c r="B208" s="8"/>
      <c r="D208" s="8"/>
      <c r="AA208" s="8"/>
      <c r="AB208" s="38"/>
      <c r="AC208" s="12"/>
      <c r="AD208" s="12"/>
      <c r="AE208" s="12"/>
      <c r="AF208" s="12"/>
      <c r="AG208" s="12"/>
      <c r="AH208" s="12"/>
      <c r="AI208" s="12"/>
      <c r="AJ208" s="12"/>
      <c r="AK208" s="12"/>
      <c r="AL208" s="42"/>
      <c r="AM208" s="8"/>
      <c r="AN208" s="38"/>
      <c r="AO208" s="12"/>
      <c r="AP208" s="12"/>
      <c r="AQ208" s="12"/>
      <c r="AR208" s="12"/>
      <c r="AS208" s="12"/>
      <c r="AT208" s="12"/>
      <c r="AU208" s="12"/>
      <c r="AV208" s="12"/>
      <c r="AW208" s="42"/>
      <c r="AX208" s="8"/>
      <c r="AY208" s="38"/>
      <c r="AZ208" s="12"/>
      <c r="BA208" s="12"/>
      <c r="BB208" s="12"/>
      <c r="BC208" s="42"/>
    </row>
    <row r="209" spans="1:55">
      <c r="A209" s="21"/>
      <c r="B209" s="8"/>
      <c r="D209" s="8"/>
      <c r="AA209" s="8"/>
      <c r="AB209" s="38"/>
      <c r="AC209" s="12"/>
      <c r="AD209" s="12"/>
      <c r="AE209" s="12"/>
      <c r="AF209" s="12"/>
      <c r="AG209" s="12"/>
      <c r="AH209" s="12"/>
      <c r="AI209" s="12"/>
      <c r="AJ209" s="12"/>
      <c r="AK209" s="12"/>
      <c r="AL209" s="42"/>
      <c r="AM209" s="8"/>
      <c r="AN209" s="38"/>
      <c r="AO209" s="12"/>
      <c r="AP209" s="12"/>
      <c r="AQ209" s="12"/>
      <c r="AR209" s="12"/>
      <c r="AS209" s="12"/>
      <c r="AT209" s="12"/>
      <c r="AU209" s="12"/>
      <c r="AV209" s="12"/>
      <c r="AW209" s="42"/>
      <c r="AX209" s="8"/>
      <c r="AY209" s="38"/>
      <c r="AZ209" s="12"/>
      <c r="BA209" s="12"/>
      <c r="BB209" s="12"/>
      <c r="BC209" s="42"/>
    </row>
    <row r="210" spans="1:55">
      <c r="A210" s="21"/>
      <c r="B210" s="8"/>
      <c r="D210" s="8"/>
      <c r="AA210" s="8"/>
      <c r="AB210" s="38"/>
      <c r="AC210" s="12"/>
      <c r="AD210" s="12"/>
      <c r="AE210" s="12"/>
      <c r="AF210" s="12"/>
      <c r="AG210" s="12"/>
      <c r="AH210" s="12"/>
      <c r="AI210" s="12"/>
      <c r="AJ210" s="12"/>
      <c r="AK210" s="12"/>
      <c r="AL210" s="42"/>
      <c r="AM210" s="8"/>
      <c r="AN210" s="38"/>
      <c r="AO210" s="12"/>
      <c r="AP210" s="12"/>
      <c r="AQ210" s="12"/>
      <c r="AR210" s="12"/>
      <c r="AS210" s="12"/>
      <c r="AT210" s="12"/>
      <c r="AU210" s="12"/>
      <c r="AV210" s="12"/>
      <c r="AW210" s="42"/>
      <c r="AX210" s="8"/>
      <c r="AY210" s="38"/>
      <c r="AZ210" s="12"/>
      <c r="BA210" s="12"/>
      <c r="BB210" s="12"/>
      <c r="BC210" s="42"/>
    </row>
    <row r="211" spans="1:55">
      <c r="A211" s="21"/>
      <c r="B211" s="8"/>
      <c r="D211" s="8"/>
      <c r="AA211" s="8"/>
      <c r="AB211" s="38"/>
      <c r="AC211" s="12"/>
      <c r="AD211" s="12"/>
      <c r="AE211" s="12"/>
      <c r="AF211" s="12"/>
      <c r="AG211" s="12"/>
      <c r="AH211" s="12"/>
      <c r="AI211" s="12"/>
      <c r="AJ211" s="12"/>
      <c r="AK211" s="12"/>
      <c r="AL211" s="42"/>
      <c r="AM211" s="8"/>
      <c r="AN211" s="38"/>
      <c r="AO211" s="12"/>
      <c r="AP211" s="12"/>
      <c r="AQ211" s="12"/>
      <c r="AR211" s="12"/>
      <c r="AS211" s="12"/>
      <c r="AT211" s="12"/>
      <c r="AU211" s="12"/>
      <c r="AV211" s="12"/>
      <c r="AW211" s="42"/>
      <c r="AX211" s="8"/>
      <c r="AY211" s="38"/>
      <c r="AZ211" s="12"/>
      <c r="BA211" s="12"/>
      <c r="BB211" s="12"/>
      <c r="BC211" s="42"/>
    </row>
    <row r="212" spans="1:55">
      <c r="A212" s="21"/>
      <c r="B212" s="8"/>
      <c r="D212" s="8"/>
      <c r="AA212" s="8"/>
      <c r="AB212" s="38"/>
      <c r="AC212" s="12"/>
      <c r="AD212" s="12"/>
      <c r="AE212" s="12"/>
      <c r="AF212" s="12"/>
      <c r="AG212" s="12"/>
      <c r="AH212" s="12"/>
      <c r="AI212" s="12"/>
      <c r="AJ212" s="12"/>
      <c r="AK212" s="12"/>
      <c r="AL212" s="42"/>
      <c r="AM212" s="8"/>
      <c r="AN212" s="38"/>
      <c r="AO212" s="12"/>
      <c r="AP212" s="12"/>
      <c r="AQ212" s="12"/>
      <c r="AR212" s="12"/>
      <c r="AS212" s="12"/>
      <c r="AT212" s="12"/>
      <c r="AU212" s="12"/>
      <c r="AV212" s="12"/>
      <c r="AW212" s="42"/>
      <c r="AX212" s="8"/>
      <c r="AY212" s="38"/>
      <c r="AZ212" s="12"/>
      <c r="BA212" s="12"/>
      <c r="BB212" s="12"/>
      <c r="BC212" s="42"/>
    </row>
  </sheetData>
  <sheetProtection formatCells="0" insertRows="0" deleteRows="0"/>
  <mergeCells count="5">
    <mergeCell ref="C2:O2"/>
    <mergeCell ref="AN2:AW2"/>
    <mergeCell ref="AY2:BC2"/>
    <mergeCell ref="AB2:AL2"/>
    <mergeCell ref="Q2:Z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1-Calculate Reference Gas</vt:lpstr>
      <vt:lpstr>2-Calculate Analytical Uncert</vt:lpstr>
      <vt:lpstr>3-Calculate Sample dD &amp; Uncert</vt:lpstr>
    </vt:vector>
  </TitlesOfParts>
  <Company>Lamont-Doherty Earth Observatory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Pratigya Polissar</dc:creator>
  <cp:lastModifiedBy>0004022</cp:lastModifiedBy>
  <dcterms:created xsi:type="dcterms:W3CDTF">2012-07-12T00:35:19Z</dcterms:created>
  <dcterms:modified xsi:type="dcterms:W3CDTF">2014-02-13T10:33:17Z</dcterms:modified>
</cp:coreProperties>
</file>